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FD12F3B5-3151-472C-926E-B33E6C6095CA}" xr6:coauthVersionLast="47" xr6:coauthVersionMax="47" xr10:uidLastSave="{00000000-0000-0000-0000-000000000000}"/>
  <bookViews>
    <workbookView xWindow="-108" yWindow="-108" windowWidth="23256" windowHeight="12720" xr2:uid="{9E2F3FDE-9765-44FD-94EE-C138007644EF}"/>
  </bookViews>
  <sheets>
    <sheet name="14" sheetId="1" r:id="rId1"/>
  </sheets>
  <externalReferences>
    <externalReference r:id="rId2"/>
  </externalReferences>
  <definedNames>
    <definedName name="newbasicPB4">[1]Sheet1!$T$4:$T$37</definedName>
    <definedName name="oldbasicPB4">[1]Sheet1!$S$4:$S$37</definedName>
    <definedName name="_xlnm.Print_Area" localSheetId="0">'14'!$A$1:$I$51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34" i="1" l="1"/>
  <c r="D133" i="1"/>
  <c r="D131" i="1"/>
  <c r="D127" i="1"/>
  <c r="K91" i="1"/>
  <c r="H88" i="1"/>
  <c r="E88" i="1"/>
  <c r="E92" i="1" s="1"/>
  <c r="E93" i="1" s="1"/>
  <c r="F93" i="1" s="1"/>
  <c r="E80" i="1"/>
  <c r="B80" i="1"/>
  <c r="E78" i="1"/>
  <c r="C70" i="1"/>
  <c r="L66" i="1"/>
  <c r="G63" i="1"/>
  <c r="H61" i="1"/>
  <c r="E74" i="1" s="1"/>
  <c r="L51" i="1"/>
  <c r="H48" i="1"/>
  <c r="M38" i="1"/>
  <c r="M37" i="1"/>
  <c r="M39" i="1" s="1"/>
  <c r="G35" i="1" s="1"/>
  <c r="M36" i="1"/>
  <c r="E35" i="1"/>
  <c r="M32" i="1"/>
  <c r="M31" i="1"/>
  <c r="G28" i="1"/>
  <c r="H31" i="1" s="1"/>
  <c r="D28" i="1"/>
  <c r="H24" i="1"/>
  <c r="G24" i="1"/>
  <c r="G22" i="1"/>
  <c r="G21" i="1"/>
  <c r="H19" i="1"/>
  <c r="H16" i="1"/>
  <c r="M7" i="1"/>
  <c r="G8" i="1" s="1"/>
  <c r="L7" i="1"/>
  <c r="G5" i="1"/>
  <c r="G4" i="1"/>
  <c r="G7" i="1" s="1"/>
  <c r="I2" i="1"/>
  <c r="G9" i="1" l="1"/>
  <c r="H10" i="1" s="1"/>
  <c r="H26" i="1" s="1"/>
  <c r="E32" i="1" s="1"/>
  <c r="H32" i="1" s="1"/>
  <c r="H89" i="1"/>
  <c r="H92" i="1" s="1"/>
  <c r="K90" i="1" s="1"/>
  <c r="A31" i="1"/>
  <c r="A43" i="1" s="1"/>
  <c r="E34" i="1" l="1"/>
  <c r="M33" i="1" l="1"/>
  <c r="M34" i="1" s="1"/>
  <c r="G34" i="1"/>
  <c r="G36" i="1" s="1"/>
  <c r="H37" i="1" s="1"/>
  <c r="H39" i="1" l="1"/>
  <c r="H38" i="1"/>
  <c r="H40" i="1" l="1"/>
  <c r="H41" i="1" s="1"/>
  <c r="H60" i="1" l="1"/>
  <c r="H62" i="1" l="1"/>
  <c r="H63" i="1" s="1"/>
  <c r="E73" i="1"/>
  <c r="E75" i="1" s="1"/>
  <c r="E79" i="1" l="1"/>
  <c r="E77" i="1"/>
  <c r="E65" i="1"/>
  <c r="F65" i="1" s="1"/>
  <c r="G65" i="1" s="1"/>
  <c r="H65" i="1" s="1"/>
  <c r="E66" i="1"/>
  <c r="F66" i="1" s="1"/>
  <c r="G66" i="1" s="1"/>
  <c r="H66" i="1" s="1"/>
  <c r="E68" i="1"/>
  <c r="F68" i="1" s="1"/>
  <c r="G68" i="1" s="1"/>
  <c r="H68" i="1" s="1"/>
  <c r="E67" i="1"/>
  <c r="F67" i="1" s="1"/>
  <c r="G67" i="1" s="1"/>
  <c r="H67" i="1" s="1"/>
  <c r="H70" i="1" l="1"/>
  <c r="F79" i="1"/>
  <c r="H73" i="1" s="1"/>
  <c r="H74" i="1" l="1"/>
  <c r="H75" i="1" s="1"/>
  <c r="H76" i="1" s="1"/>
  <c r="E81" i="1"/>
  <c r="E82" i="1" s="1"/>
  <c r="E83" i="1" s="1"/>
  <c r="F83" i="1" s="1"/>
  <c r="H77" i="1" s="1"/>
  <c r="H78" i="1" s="1"/>
  <c r="H79" i="1" s="1"/>
  <c r="K67" i="1"/>
  <c r="K68" i="1" s="1"/>
  <c r="H82" i="1" l="1"/>
  <c r="K80" i="1" l="1"/>
  <c r="K81" i="1" s="1"/>
  <c r="H58" i="1"/>
  <c r="H42" i="1" s="1"/>
  <c r="H44" i="1" s="1"/>
  <c r="H49" i="1" s="1"/>
  <c r="B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FA934AD0-A7AA-43E0-9ED7-AEBFBAA59272}">
      <text>
        <r>
          <rPr>
            <b/>
            <sz val="8"/>
            <color indexed="81"/>
            <rFont val="Tahoma"/>
            <family val="2"/>
          </rPr>
          <t>RATHORE:</t>
        </r>
        <r>
          <rPr>
            <sz val="8"/>
            <color indexed="81"/>
            <rFont val="Tahoma"/>
            <family val="2"/>
          </rPr>
          <t xml:space="preserve">
</t>
        </r>
      </text>
    </comment>
    <comment ref="C46" authorId="0" shapeId="0" xr:uid="{F5743DCD-E972-4914-9B3B-D9CCAADD8D8E}">
      <text>
        <r>
          <rPr>
            <b/>
            <sz val="8"/>
            <color indexed="81"/>
            <rFont val="Tahoma"/>
            <family val="2"/>
          </rPr>
          <t>RATHORE:</t>
        </r>
        <r>
          <rPr>
            <sz val="8"/>
            <color indexed="81"/>
            <rFont val="Tahoma"/>
            <family val="2"/>
          </rPr>
          <t xml:space="preserve">
</t>
        </r>
      </text>
    </comment>
    <comment ref="B49" authorId="0" shapeId="0" xr:uid="{72B4F6A6-17AB-4CBB-A8B4-C643CF02D933}">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<sst xmlns="http://schemas.openxmlformats.org/spreadsheetml/2006/main" count="236" uniqueCount="213">
  <si>
    <t>Dr. V.K. Singhania's Book</t>
  </si>
  <si>
    <t xml:space="preserve">A S S E S S M E N T   Y E A R  :  2 0 2 2 - 2 3 </t>
  </si>
  <si>
    <t xml:space="preserve">Case-14  (Agri income in India &amp; Bhutan, Salary, SOP, Gifts, NPS) </t>
  </si>
  <si>
    <t>Filing Date</t>
  </si>
  <si>
    <t>67th Edition:  August-2022</t>
  </si>
  <si>
    <t>Case Study-14</t>
  </si>
  <si>
    <t>Pg 565</t>
  </si>
  <si>
    <t>Jairam Goenka</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</si>
  <si>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</si>
  <si>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</si>
  <si>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</si>
  <si>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</si>
  <si>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</si>
  <si>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</si>
  <si>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</si>
  <si>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Bonus</t>
  </si>
  <si>
    <t>Sec 17(2)</t>
  </si>
  <si>
    <t xml:space="preserve">Value of Perquisites </t>
  </si>
  <si>
    <t xml:space="preserve">H. Rent Allowance (No Rent paid) </t>
  </si>
  <si>
    <t>Calculations</t>
  </si>
  <si>
    <t>Sec 17(3)</t>
  </si>
  <si>
    <t xml:space="preserve">Profit in lieu of Salary </t>
  </si>
  <si>
    <t>Conveyance Allowance</t>
  </si>
  <si>
    <t xml:space="preserve">Gross Salary </t>
  </si>
  <si>
    <t>Late Fees</t>
  </si>
  <si>
    <t>Sec 10</t>
  </si>
  <si>
    <t>Less Exempt Allowances (14000 + 68000)</t>
  </si>
  <si>
    <t xml:space="preserve">Leave Travel Concession </t>
  </si>
  <si>
    <t>Aug-Dec 22</t>
  </si>
  <si>
    <t xml:space="preserve">Net Salary </t>
  </si>
  <si>
    <t xml:space="preserve">Employer Contribution to Superannuation </t>
  </si>
  <si>
    <t>Sec 16(ia)</t>
  </si>
  <si>
    <t>Less Standard  Deduction</t>
  </si>
  <si>
    <r>
      <t>(Amount 160000)</t>
    </r>
    <r>
      <rPr>
        <sz val="9"/>
        <color rgb="FFC00000"/>
        <rFont val="Arial"/>
        <family val="2"/>
      </rPr>
      <t xml:space="preserve"> not exceeding Rs. 750,000</t>
    </r>
  </si>
  <si>
    <r>
      <t xml:space="preserve">HOUSE PROPERTY </t>
    </r>
    <r>
      <rPr>
        <sz val="10"/>
        <color theme="1"/>
        <rFont val="Arial"/>
        <family val="2"/>
      </rPr>
      <t>U/S 22-27</t>
    </r>
  </si>
  <si>
    <t xml:space="preserve">SOP </t>
  </si>
  <si>
    <t xml:space="preserve">Annual Value </t>
  </si>
  <si>
    <t xml:space="preserve">Nil </t>
  </si>
  <si>
    <t xml:space="preserve">Less  Municipal Taxes Paid </t>
  </si>
  <si>
    <t>Accrued Intt on Loan (Friend) to Purchase Prop</t>
  </si>
  <si>
    <t>Sec 24</t>
  </si>
  <si>
    <t>LESS: Deduction</t>
  </si>
  <si>
    <t xml:space="preserve">Std Ded 30% </t>
  </si>
  <si>
    <r>
      <t xml:space="preserve">(FY 2012-13)  </t>
    </r>
    <r>
      <rPr>
        <sz val="9"/>
        <color rgb="FFC00000"/>
        <rFont val="Arial"/>
        <family val="2"/>
      </rPr>
      <t>Repayment of Principal - NA u/s 80C</t>
    </r>
  </si>
  <si>
    <t xml:space="preserve">Intt on H  Loan </t>
  </si>
  <si>
    <t>Max Limit</t>
  </si>
  <si>
    <r>
      <t xml:space="preserve">CAPITAL GAINS </t>
    </r>
    <r>
      <rPr>
        <sz val="10"/>
        <color theme="1"/>
        <rFont val="Arial"/>
        <family val="2"/>
      </rPr>
      <t>U/S 45 - 55</t>
    </r>
  </si>
  <si>
    <t>SHORT TERM CAPITAL GAIN</t>
  </si>
  <si>
    <t xml:space="preserve">Saving Bank Interest </t>
  </si>
  <si>
    <t xml:space="preserve">LONG TERM CAPITAL GAIN </t>
  </si>
  <si>
    <t xml:space="preserve">Income from Agricultural activity (India) </t>
  </si>
  <si>
    <r>
      <t xml:space="preserve">OTHER SOURCES </t>
    </r>
    <r>
      <rPr>
        <sz val="10"/>
        <color theme="1"/>
        <rFont val="Arial"/>
        <family val="2"/>
      </rPr>
      <t>U/S 56-59</t>
    </r>
  </si>
  <si>
    <t>6/7, Shivpura, Rohtak-124001</t>
  </si>
  <si>
    <t xml:space="preserve">Income from Agri activity (Bhutan) </t>
  </si>
  <si>
    <t xml:space="preserve">Gifts-Friends (Wedding Anniversary) </t>
  </si>
  <si>
    <t>Gift from Non-Relative (Not exceeding 50000)</t>
  </si>
  <si>
    <t xml:space="preserve">Gifts Received on Birthday - Mama Ji </t>
  </si>
  <si>
    <t xml:space="preserve">Gift from Relative </t>
  </si>
  <si>
    <t xml:space="preserve">Partial Integration </t>
  </si>
  <si>
    <t>GROSS TOTAL INCOME</t>
  </si>
  <si>
    <t>Calculate tax on Agricultural + Non-Agri Income</t>
  </si>
  <si>
    <t xml:space="preserve">LESS: DEDUCTIONS UNDER CHAPTER VI-A </t>
  </si>
  <si>
    <t xml:space="preserve">Calculate tax on Agricultural + Exemption Limit </t>
  </si>
  <si>
    <t xml:space="preserve">Sec 80C </t>
  </si>
  <si>
    <t>Recognised Prov Fund</t>
  </si>
  <si>
    <t xml:space="preserve">Sec  80CCD (1) </t>
  </si>
  <si>
    <t xml:space="preserve">NPS </t>
  </si>
  <si>
    <r>
      <t xml:space="preserve">Sec  80CCD(1B) </t>
    </r>
    <r>
      <rPr>
        <sz val="9"/>
        <color theme="1"/>
        <rFont val="Arial"/>
        <family val="2"/>
      </rPr>
      <t>New Pension Scheme  Max 50000</t>
    </r>
  </si>
  <si>
    <t>Income Tax on Rs. 7410110</t>
  </si>
  <si>
    <t>Sec 80TTA</t>
  </si>
  <si>
    <t>SB Interest</t>
  </si>
  <si>
    <t>250,000  to  500,000</t>
  </si>
  <si>
    <t xml:space="preserve">TOTAL  INCOME </t>
  </si>
  <si>
    <t>Rounding Off u/s 288A</t>
  </si>
  <si>
    <t>500,000 to 1000,000</t>
  </si>
  <si>
    <t xml:space="preserve">TAX ON TOTAL INCOME </t>
  </si>
  <si>
    <t xml:space="preserve">INCOME  </t>
  </si>
  <si>
    <t>RATE</t>
  </si>
  <si>
    <t>TAX</t>
  </si>
  <si>
    <t xml:space="preserve">      Above   1000,000</t>
  </si>
  <si>
    <t>Tax on  Non-Agri+ Agri</t>
  </si>
  <si>
    <t>Tax on Agri + Exem Limit</t>
  </si>
  <si>
    <t>Less</t>
  </si>
  <si>
    <t>Income Tax on Rs. 2200000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</si>
  <si>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</si>
  <si>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</si>
  <si>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</si>
  <si>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</si>
  <si>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r>
      <t>TOTAL TAX PAYABLE</t>
    </r>
    <r>
      <rPr>
        <sz val="10"/>
        <color theme="1"/>
        <rFont val="Arial"/>
        <family val="2"/>
      </rPr>
      <t xml:space="preserve"> (including Surcharge &amp; Cesses) </t>
    </r>
  </si>
  <si>
    <t xml:space="preserve">Agricultural Income in India </t>
  </si>
  <si>
    <t xml:space="preserve">ADD : INTEREST U/S 234A, 234B &amp; 234C </t>
  </si>
  <si>
    <t>Interest till the Month of making Video i.e Oct-2022</t>
  </si>
  <si>
    <t xml:space="preserve">ADD : Late Fees U/S 234F </t>
  </si>
  <si>
    <t>Aug-Dec 2022</t>
  </si>
  <si>
    <t xml:space="preserve">(If Agri Income &gt; 500,000 then Information about Land) </t>
  </si>
  <si>
    <t>TOTAL TAX AND INTEREST PAYABLE</t>
  </si>
  <si>
    <t xml:space="preserve">TAX PAID U/S 199 : </t>
  </si>
  <si>
    <t xml:space="preserve">Advance Tax Paid  U/S 210 </t>
  </si>
  <si>
    <t>Details of Assets &amp; Liabilities</t>
  </si>
  <si>
    <t xml:space="preserve">Acq Cost </t>
  </si>
  <si>
    <t>Mkt Value</t>
  </si>
  <si>
    <t xml:space="preserve">T. D. S.  U/S 192 </t>
  </si>
  <si>
    <t>Employer</t>
  </si>
  <si>
    <t>Resi H Property</t>
  </si>
  <si>
    <t>Self-Assessment Tax Paid</t>
  </si>
  <si>
    <t xml:space="preserve">Jewellery </t>
  </si>
  <si>
    <t>Rounding Off u/s 288B</t>
  </si>
  <si>
    <t xml:space="preserve">Shares and Securities </t>
  </si>
  <si>
    <t xml:space="preserve">Tax Cals by Dr SB Rathore, Former Associate Professor of Commerce;  42 yrs Teaching Experience (Oct-77 to Dec-19) in Shyam Lal College (University of Delhi) </t>
  </si>
  <si>
    <t>Cash</t>
  </si>
  <si>
    <t>Website: www.taxclasses.in</t>
  </si>
  <si>
    <t xml:space="preserve">FaceBook: DrSB Rathore </t>
  </si>
  <si>
    <t>YouTube: Tax Doctor</t>
  </si>
  <si>
    <t>Part -B</t>
  </si>
  <si>
    <t>80C - 80GGC</t>
  </si>
  <si>
    <t>Part -C</t>
  </si>
  <si>
    <t>80H - 80RRB</t>
  </si>
  <si>
    <t>Part- CA</t>
  </si>
  <si>
    <t>80TTA, 80TTB</t>
  </si>
  <si>
    <t>Part-D</t>
  </si>
  <si>
    <t>80U</t>
  </si>
  <si>
    <t xml:space="preserve">Calculation  of Interest under Sections 234A, 234B &amp; 234C </t>
  </si>
  <si>
    <t>Total Interest</t>
  </si>
  <si>
    <t>Section 234C: In case of Non-Sr Citizen: If  Amount Exceeds Rs. 10000</t>
  </si>
  <si>
    <t>Total Tax, Surcharge &amp; Cess</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</si>
  <si>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</si>
  <si>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</si>
  <si>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</si>
  <si>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</si>
  <si>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</si>
  <si>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</si>
  <si>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</si>
  <si>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</si>
  <si>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</si>
  <si>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</si>
  <si>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</si>
  <si>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 xml:space="preserve">Nov </t>
  </si>
  <si>
    <t xml:space="preserve">Dec </t>
  </si>
  <si>
    <t>Section 234B:  If  Amount Exceeds Rs. 10000 (Less than 90 %.....)</t>
  </si>
  <si>
    <t xml:space="preserve"> Tax Liability after TDS</t>
  </si>
  <si>
    <t>Advance Tax   till 31-03-2022</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</si>
  <si>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</si>
  <si>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</si>
  <si>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</si>
  <si>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</si>
  <si>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</si>
  <si>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</si>
  <si>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 xml:space="preserve">Section 234A: </t>
  </si>
  <si>
    <t>Less Advance tax paid by 31-03-2022</t>
  </si>
  <si>
    <t>Interest u/s 234A</t>
  </si>
  <si>
    <t>Add Interest u/s 234C till 31-03-2022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</si>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</sst>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0%"/>
    <numFmt numFmtId="165" formatCode="[$-409]d\-mmm\-yy;@"/>
  </numFmts>
  <fonts count="68"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10"/>
      <color rgb="FF0000FF"/>
      <name val="Arial"/>
      <family val="2"/>
    </font>
    <font>
      <b/>
      <sz val="8"/>
      <name val="Arial"/>
      <family val="2"/>
    </font>
    <font>
      <i/>
      <sz val="9"/>
      <color theme="1"/>
      <name val="Arial"/>
      <family val="2"/>
    </font>
    <font>
      <b/>
      <sz val="8"/>
      <color rgb="FF7030A0"/>
      <name val="Arial"/>
      <family val="2"/>
    </font>
    <font>
      <sz val="9"/>
      <color rgb="FF7030A0"/>
      <name val="Arial"/>
      <family val="2"/>
    </font>
    <font>
      <b/>
      <sz val="9"/>
      <color theme="1"/>
      <name val="Arial"/>
      <family val="2"/>
    </font>
    <font>
      <sz val="9"/>
      <name val="Arial"/>
      <family val="2"/>
    </font>
    <font>
      <sz val="10"/>
      <color rgb="FF7030A0"/>
      <name val="Arial"/>
      <family val="2"/>
    </font>
    <font>
      <sz val="8"/>
      <color theme="1"/>
      <name val="Arial Narrow"/>
      <family val="2"/>
    </font>
    <font>
      <i/>
      <sz val="9"/>
      <color rgb="FFC00000"/>
      <name val="Arial"/>
      <family val="2"/>
    </font>
    <font>
      <u/>
      <sz val="10"/>
      <color theme="1"/>
      <name val="Arial"/>
      <family val="2"/>
    </font>
    <font>
      <i/>
      <u/>
      <sz val="10"/>
      <color theme="1"/>
      <name val="Arial"/>
      <family val="2"/>
    </font>
    <font>
      <sz val="10"/>
      <color theme="3" tint="-0.249977111117893"/>
      <name val="Arial"/>
      <family val="2"/>
    </font>
    <font>
      <b/>
      <sz val="9"/>
      <color rgb="FF0000FF"/>
      <name val="Arial"/>
      <family val="2"/>
    </font>
    <font>
      <i/>
      <sz val="8"/>
      <color theme="1"/>
      <name val="Arial"/>
      <family val="2"/>
    </font>
    <font>
      <b/>
      <sz val="10"/>
      <color rgb="FFC00000"/>
      <name val="Arial Narrow"/>
      <family val="2"/>
    </font>
    <font>
      <sz val="8"/>
      <color rgb="FF0000FF"/>
      <name val="Arial"/>
      <family val="2"/>
    </font>
    <font>
      <i/>
      <sz val="10"/>
      <color rgb="FFFF0000"/>
      <name val="Arial"/>
      <family val="2"/>
    </font>
    <font>
      <sz val="10"/>
      <color theme="1"/>
      <name val="Arial Narrow"/>
      <family val="2"/>
    </font>
    <font>
      <sz val="9"/>
      <color rgb="FF00B0F0"/>
      <name val="Arial"/>
      <family val="2"/>
    </font>
    <font>
      <sz val="9"/>
      <color theme="1"/>
      <name val="Arial Narrow"/>
      <family val="2"/>
    </font>
    <font>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b/>
      <sz val="10"/>
      <color rgb="FF00B050"/>
      <name val="Arial"/>
      <family val="2"/>
    </font>
    <font>
      <b/>
      <sz val="9"/>
      <color rgb="FF00B050"/>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73">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1" applyFont="1" applyBorder="1" applyAlignment="1">
      <alignment horizontal="center" shrinkToFit="1"/>
    </xf>
    <xf numFmtId="0" fontId="6" fillId="0" borderId="8" xfId="1" applyFont="1" applyBorder="1" applyAlignment="1">
      <alignment horizontal="center" shrinkToFit="1"/>
    </xf>
    <xf numFmtId="0" fontId="7" fillId="0" borderId="8" xfId="1" applyFont="1" applyBorder="1" applyAlignment="1">
      <alignment horizontal="center"/>
    </xf>
    <xf numFmtId="0" fontId="8" fillId="0" borderId="8" xfId="1" applyFont="1" applyBorder="1" applyAlignment="1">
      <alignment horizontal="center"/>
    </xf>
    <xf numFmtId="0" fontId="9" fillId="0" borderId="8" xfId="0" applyFont="1" applyBorder="1" applyAlignment="1">
      <alignment horizontal="center"/>
    </xf>
    <xf numFmtId="15" fontId="10" fillId="0" borderId="8" xfId="1"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1" fontId="12" fillId="0" borderId="0" xfId="0" applyNumberFormat="1" applyFont="1"/>
    <xf numFmtId="0" fontId="10" fillId="0" borderId="10" xfId="0" applyFont="1" applyBorder="1" applyAlignment="1">
      <alignment horizontal="center"/>
    </xf>
    <xf numFmtId="0" fontId="8" fillId="0" borderId="4" xfId="0" applyFont="1" applyBorder="1" applyAlignment="1">
      <alignment shrinkToFit="1"/>
    </xf>
    <xf numFmtId="0" fontId="8" fillId="0" borderId="0" xfId="0" applyFont="1"/>
    <xf numFmtId="0" fontId="7" fillId="0" borderId="0" xfId="0" applyFont="1" applyAlignment="1">
      <alignment horizontal="left"/>
    </xf>
    <xf numFmtId="1" fontId="12" fillId="3" borderId="11" xfId="0" applyNumberFormat="1" applyFont="1" applyFill="1" applyBorder="1"/>
    <xf numFmtId="1" fontId="15" fillId="0" borderId="0" xfId="0" applyNumberFormat="1" applyFont="1"/>
    <xf numFmtId="1" fontId="15" fillId="0" borderId="5" xfId="0" applyNumberFormat="1" applyFont="1" applyBorder="1"/>
    <xf numFmtId="15" fontId="10" fillId="0" borderId="10" xfId="0" applyNumberFormat="1" applyFont="1" applyBorder="1" applyAlignment="1">
      <alignment horizontal="center"/>
    </xf>
    <xf numFmtId="0" fontId="8" fillId="0" borderId="10" xfId="0" applyFont="1" applyBorder="1" applyAlignment="1">
      <alignment horizontal="center"/>
    </xf>
    <xf numFmtId="1" fontId="12" fillId="3" borderId="12" xfId="0" applyNumberFormat="1" applyFont="1" applyFill="1" applyBorder="1"/>
    <xf numFmtId="17" fontId="7" fillId="0" borderId="13" xfId="0" applyNumberFormat="1" applyFont="1" applyBorder="1" applyAlignment="1">
      <alignment horizontal="center"/>
    </xf>
    <xf numFmtId="0" fontId="16" fillId="0" borderId="0" xfId="0" applyFont="1" applyAlignment="1">
      <alignment horizontal="right"/>
    </xf>
    <xf numFmtId="1" fontId="12" fillId="0" borderId="14" xfId="0" applyNumberFormat="1" applyFont="1" applyBorder="1"/>
    <xf numFmtId="0" fontId="17" fillId="0" borderId="15" xfId="0" applyFont="1" applyBorder="1" applyAlignment="1">
      <alignment horizontal="right" vertical="center"/>
    </xf>
    <xf numFmtId="0" fontId="18" fillId="4" borderId="6" xfId="0" applyFont="1" applyFill="1" applyBorder="1" applyAlignment="1">
      <alignment horizontal="center"/>
    </xf>
    <xf numFmtId="0" fontId="19" fillId="0" borderId="0" xfId="0" applyFont="1"/>
    <xf numFmtId="17" fontId="20" fillId="0" borderId="10" xfId="0" applyNumberFormat="1" applyFont="1" applyBorder="1" applyAlignment="1">
      <alignment horizontal="center"/>
    </xf>
    <xf numFmtId="1" fontId="12" fillId="0" borderId="11" xfId="0" applyNumberFormat="1" applyFont="1" applyBorder="1"/>
    <xf numFmtId="0" fontId="7" fillId="0" borderId="0" xfId="0" applyFont="1"/>
    <xf numFmtId="0" fontId="21" fillId="0" borderId="13" xfId="0" applyFont="1" applyBorder="1" applyAlignment="1">
      <alignment horizontal="center"/>
    </xf>
    <xf numFmtId="0" fontId="5" fillId="0" borderId="0" xfId="0" applyFont="1" applyAlignment="1">
      <alignment vertical="top"/>
    </xf>
    <xf numFmtId="0" fontId="22" fillId="0" borderId="0" xfId="0" applyFont="1"/>
    <xf numFmtId="0" fontId="23" fillId="0" borderId="0" xfId="0" applyFont="1" applyAlignment="1">
      <alignment horizontal="left"/>
    </xf>
    <xf numFmtId="0" fontId="12" fillId="0" borderId="0" xfId="0" applyFont="1" applyAlignment="1">
      <alignment horizontal="left"/>
    </xf>
    <xf numFmtId="0" fontId="12" fillId="5" borderId="0" xfId="0" applyFont="1" applyFill="1" applyAlignment="1">
      <alignment horizontal="right"/>
    </xf>
    <xf numFmtId="1" fontId="15" fillId="0" borderId="16" xfId="0" applyNumberFormat="1" applyFont="1" applyBorder="1"/>
    <xf numFmtId="0" fontId="23" fillId="0" borderId="0" xfId="0" applyFont="1"/>
    <xf numFmtId="0" fontId="12" fillId="5" borderId="12" xfId="0" applyFont="1" applyFill="1" applyBorder="1" applyAlignment="1">
      <alignment horizontal="right"/>
    </xf>
    <xf numFmtId="0" fontId="12" fillId="0" borderId="0" xfId="0" applyFont="1" applyAlignment="1">
      <alignment horizontal="right"/>
    </xf>
    <xf numFmtId="0" fontId="12" fillId="0" borderId="0" xfId="0" applyFont="1" applyAlignment="1">
      <alignment vertical="top"/>
    </xf>
    <xf numFmtId="0" fontId="7" fillId="5" borderId="0" xfId="0" applyFont="1" applyFill="1" applyAlignment="1">
      <alignment horizontal="center"/>
    </xf>
    <xf numFmtId="0" fontId="12" fillId="0" borderId="12" xfId="0" applyFont="1" applyBorder="1"/>
    <xf numFmtId="0" fontId="12" fillId="5" borderId="0" xfId="0" applyFont="1" applyFill="1"/>
    <xf numFmtId="0" fontId="12" fillId="5" borderId="17" xfId="0" applyFont="1" applyFill="1" applyBorder="1"/>
    <xf numFmtId="0" fontId="24" fillId="0" borderId="0" xfId="0" applyFont="1"/>
    <xf numFmtId="0" fontId="23" fillId="0" borderId="0" xfId="0" applyFont="1" applyAlignment="1">
      <alignment horizontal="left" vertical="top" indent="2"/>
    </xf>
    <xf numFmtId="0" fontId="25" fillId="0" borderId="0" xfId="0" applyFont="1" applyAlignment="1">
      <alignment horizontal="center"/>
    </xf>
    <xf numFmtId="0" fontId="16" fillId="0" borderId="0" xfId="0" applyFont="1"/>
    <xf numFmtId="0" fontId="23" fillId="0" borderId="0" xfId="0" applyFont="1" applyAlignment="1">
      <alignment horizontal="left" wrapText="1"/>
    </xf>
    <xf numFmtId="0" fontId="19" fillId="0" borderId="0" xfId="0" applyFont="1" applyAlignment="1">
      <alignment horizontal="left" indent="1"/>
    </xf>
    <xf numFmtId="1" fontId="12" fillId="5" borderId="0" xfId="0" applyNumberFormat="1" applyFont="1" applyFill="1"/>
    <xf numFmtId="1" fontId="12" fillId="5" borderId="12" xfId="0" applyNumberFormat="1" applyFont="1" applyFill="1" applyBorder="1"/>
    <xf numFmtId="1" fontId="15" fillId="0" borderId="18" xfId="0" applyNumberFormat="1" applyFont="1" applyBorder="1"/>
    <xf numFmtId="0" fontId="26" fillId="4" borderId="1" xfId="0" applyFont="1" applyFill="1" applyBorder="1" applyAlignment="1">
      <alignment horizontal="center"/>
    </xf>
    <xf numFmtId="0" fontId="26" fillId="4" borderId="3" xfId="0" applyFont="1" applyFill="1" applyBorder="1" applyAlignment="1">
      <alignment horizontal="center"/>
    </xf>
    <xf numFmtId="1" fontId="17" fillId="0" borderId="19" xfId="0" applyNumberFormat="1" applyFont="1" applyBorder="1"/>
    <xf numFmtId="1" fontId="17" fillId="0" borderId="5" xfId="0" applyNumberFormat="1" applyFont="1" applyBorder="1"/>
    <xf numFmtId="0" fontId="26" fillId="0" borderId="4" xfId="0" applyFont="1" applyBorder="1" applyAlignment="1">
      <alignment horizontal="center"/>
    </xf>
    <xf numFmtId="0" fontId="26" fillId="0" borderId="5" xfId="0" applyFont="1" applyBorder="1" applyAlignment="1">
      <alignment horizontal="center"/>
    </xf>
    <xf numFmtId="0" fontId="27" fillId="0" borderId="0" xfId="0" applyFont="1"/>
    <xf numFmtId="0" fontId="26" fillId="0" borderId="7" xfId="0" applyFont="1" applyBorder="1" applyAlignment="1">
      <alignment horizontal="center"/>
    </xf>
    <xf numFmtId="0" fontId="26" fillId="0" borderId="9" xfId="0" applyFont="1" applyBorder="1" applyAlignment="1">
      <alignment horizontal="center"/>
    </xf>
    <xf numFmtId="0" fontId="28" fillId="0" borderId="0" xfId="0" applyFont="1"/>
    <xf numFmtId="0" fontId="29" fillId="0" borderId="0" xfId="0" applyFont="1"/>
    <xf numFmtId="0" fontId="5" fillId="0" borderId="0" xfId="0" applyFont="1" applyAlignment="1">
      <alignment horizontal="center"/>
    </xf>
    <xf numFmtId="0" fontId="15" fillId="0" borderId="0" xfId="0" applyFont="1"/>
    <xf numFmtId="0" fontId="17" fillId="0" borderId="0" xfId="0" applyFont="1"/>
    <xf numFmtId="0" fontId="30" fillId="0" borderId="4" xfId="0" applyFont="1" applyBorder="1" applyAlignment="1">
      <alignment horizontal="center"/>
    </xf>
    <xf numFmtId="0" fontId="12" fillId="5" borderId="12" xfId="0" applyFont="1" applyFill="1" applyBorder="1"/>
    <xf numFmtId="0" fontId="12" fillId="0" borderId="0" xfId="0" applyFont="1" applyAlignment="1">
      <alignment horizontal="left" indent="1"/>
    </xf>
    <xf numFmtId="9" fontId="12" fillId="0" borderId="0" xfId="0" applyNumberFormat="1" applyFont="1" applyAlignment="1">
      <alignment horizontal="center"/>
    </xf>
    <xf numFmtId="0" fontId="15" fillId="0" borderId="0" xfId="0" applyFont="1" applyAlignment="1">
      <alignment vertical="center"/>
    </xf>
    <xf numFmtId="1" fontId="25" fillId="0" borderId="0" xfId="0" applyNumberFormat="1" applyFont="1" applyAlignment="1">
      <alignment horizontal="left"/>
    </xf>
    <xf numFmtId="0" fontId="25" fillId="0" borderId="0" xfId="0" applyFont="1" applyAlignment="1">
      <alignment horizontal="left"/>
    </xf>
    <xf numFmtId="0" fontId="8" fillId="0" borderId="0" xfId="0" applyFont="1" applyAlignment="1">
      <alignment horizontal="right"/>
    </xf>
    <xf numFmtId="1" fontId="15" fillId="4" borderId="20" xfId="0" applyNumberFormat="1" applyFont="1" applyFill="1" applyBorder="1"/>
    <xf numFmtId="1" fontId="15" fillId="4" borderId="21" xfId="0" applyNumberFormat="1" applyFont="1" applyFill="1" applyBorder="1"/>
    <xf numFmtId="0" fontId="22" fillId="0" borderId="0" xfId="0" applyFont="1" applyAlignment="1">
      <alignment horizontal="right"/>
    </xf>
    <xf numFmtId="0" fontId="22" fillId="0" borderId="0" xfId="0" applyFont="1" applyAlignment="1">
      <alignment horizontal="center"/>
    </xf>
    <xf numFmtId="0" fontId="7" fillId="0" borderId="16" xfId="0" applyFont="1" applyBorder="1"/>
    <xf numFmtId="0" fontId="7" fillId="0" borderId="5" xfId="0" applyFont="1" applyBorder="1"/>
    <xf numFmtId="0" fontId="8" fillId="0" borderId="0" xfId="0" applyFont="1" applyAlignment="1">
      <alignment shrinkToFit="1"/>
    </xf>
    <xf numFmtId="0" fontId="31" fillId="0" borderId="0" xfId="0" applyFont="1" applyAlignment="1">
      <alignment horizontal="right"/>
    </xf>
    <xf numFmtId="0" fontId="15" fillId="6" borderId="15" xfId="0" applyFont="1" applyFill="1" applyBorder="1"/>
    <xf numFmtId="0" fontId="30" fillId="0" borderId="0" xfId="0" applyFont="1" applyAlignment="1">
      <alignment horizontal="center"/>
    </xf>
    <xf numFmtId="9" fontId="10" fillId="0" borderId="0" xfId="0" applyNumberFormat="1" applyFont="1" applyAlignment="1">
      <alignment horizontal="right"/>
    </xf>
    <xf numFmtId="0" fontId="12" fillId="0" borderId="16" xfId="0" applyFont="1" applyBorder="1"/>
    <xf numFmtId="0" fontId="12" fillId="0" borderId="5" xfId="0" applyFont="1" applyBorder="1"/>
    <xf numFmtId="1" fontId="15" fillId="0" borderId="16" xfId="0" applyNumberFormat="1" applyFont="1" applyBorder="1" applyAlignment="1">
      <alignment horizontal="right"/>
    </xf>
    <xf numFmtId="1" fontId="15" fillId="0" borderId="5" xfId="0" applyNumberFormat="1" applyFont="1" applyBorder="1" applyAlignment="1">
      <alignment horizontal="right"/>
    </xf>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25" fillId="0" borderId="0" xfId="0" applyFont="1"/>
    <xf numFmtId="0" fontId="12" fillId="2" borderId="1" xfId="0" applyFont="1" applyFill="1" applyBorder="1" applyAlignment="1">
      <alignment horizontal="left" indent="1"/>
    </xf>
    <xf numFmtId="0" fontId="9" fillId="2" borderId="2" xfId="0" applyFont="1" applyFill="1" applyBorder="1"/>
    <xf numFmtId="0" fontId="12" fillId="2" borderId="3" xfId="0" applyFont="1" applyFill="1" applyBorder="1"/>
    <xf numFmtId="0" fontId="32" fillId="0" borderId="0" xfId="0" applyFont="1" applyAlignment="1">
      <alignment horizontal="left"/>
    </xf>
    <xf numFmtId="0" fontId="33" fillId="0" borderId="0" xfId="0" applyFont="1" applyAlignment="1">
      <alignment horizontal="right"/>
    </xf>
    <xf numFmtId="0" fontId="12" fillId="2" borderId="4" xfId="0" applyFont="1" applyFill="1" applyBorder="1" applyAlignment="1">
      <alignment horizontal="left" indent="1"/>
    </xf>
    <xf numFmtId="0" fontId="9" fillId="2" borderId="0" xfId="0" applyFont="1" applyFill="1"/>
    <xf numFmtId="0" fontId="12" fillId="2" borderId="5" xfId="0" applyFont="1" applyFill="1" applyBorder="1"/>
    <xf numFmtId="1" fontId="12" fillId="0" borderId="22" xfId="0" applyNumberFormat="1" applyFont="1" applyBorder="1"/>
    <xf numFmtId="1" fontId="12" fillId="0" borderId="18" xfId="0" applyNumberFormat="1" applyFont="1" applyBorder="1"/>
    <xf numFmtId="0" fontId="34" fillId="2" borderId="4" xfId="0" applyFont="1" applyFill="1" applyBorder="1" applyAlignment="1">
      <alignment horizontal="center" vertical="center"/>
    </xf>
    <xf numFmtId="0" fontId="34" fillId="2" borderId="0" xfId="0" applyFont="1" applyFill="1" applyAlignment="1">
      <alignment horizontal="center" vertical="center"/>
    </xf>
    <xf numFmtId="0" fontId="34" fillId="2" borderId="5" xfId="0" applyFont="1" applyFill="1" applyBorder="1" applyAlignment="1">
      <alignment horizontal="center" vertical="center"/>
    </xf>
    <xf numFmtId="0" fontId="12" fillId="2" borderId="7" xfId="0" applyFont="1" applyFill="1" applyBorder="1" applyAlignment="1">
      <alignment horizontal="left" indent="1"/>
    </xf>
    <xf numFmtId="0" fontId="9" fillId="2" borderId="8" xfId="0" applyFont="1" applyFill="1" applyBorder="1"/>
    <xf numFmtId="0" fontId="12" fillId="2" borderId="9" xfId="0" applyFont="1" applyFill="1" applyBorder="1"/>
    <xf numFmtId="15" fontId="5" fillId="0" borderId="0" xfId="1" applyNumberFormat="1" applyFont="1" applyAlignment="1">
      <alignment horizontal="center"/>
    </xf>
    <xf numFmtId="0" fontId="35" fillId="0" borderId="0" xfId="0" applyFont="1" applyAlignment="1">
      <alignment horizontal="left" shrinkToFit="1"/>
    </xf>
    <xf numFmtId="0" fontId="35" fillId="0" borderId="0" xfId="0" applyFont="1" applyAlignment="1">
      <alignment horizontal="left" shrinkToFit="1"/>
    </xf>
    <xf numFmtId="0" fontId="12" fillId="7" borderId="0" xfId="0" applyFont="1" applyFill="1" applyAlignment="1">
      <alignment horizontal="left"/>
    </xf>
    <xf numFmtId="0" fontId="7" fillId="7" borderId="0" xfId="0" applyFont="1" applyFill="1" applyAlignment="1">
      <alignment horizontal="center"/>
    </xf>
    <xf numFmtId="1" fontId="36" fillId="0" borderId="0" xfId="0" applyNumberFormat="1" applyFont="1" applyAlignment="1">
      <alignment horizontal="center"/>
    </xf>
    <xf numFmtId="0" fontId="37" fillId="0" borderId="0" xfId="0" applyFont="1" applyAlignment="1">
      <alignment horizontal="left" shrinkToFit="1"/>
    </xf>
    <xf numFmtId="1" fontId="12" fillId="0" borderId="0" xfId="2" applyNumberFormat="1" applyFont="1" applyAlignment="1">
      <alignment horizontal="right"/>
    </xf>
    <xf numFmtId="1" fontId="9" fillId="0" borderId="0" xfId="2" applyNumberFormat="1" applyFont="1" applyAlignment="1">
      <alignment horizontal="center"/>
    </xf>
    <xf numFmtId="1" fontId="30" fillId="0" borderId="0" xfId="0" applyNumberFormat="1" applyFont="1" applyAlignment="1">
      <alignment horizontal="right"/>
    </xf>
    <xf numFmtId="1" fontId="8" fillId="0" borderId="23" xfId="0" applyNumberFormat="1" applyFont="1" applyBorder="1" applyAlignment="1">
      <alignment shrinkToFit="1"/>
    </xf>
    <xf numFmtId="0" fontId="12" fillId="0" borderId="24" xfId="0" applyFont="1" applyBorder="1"/>
    <xf numFmtId="0" fontId="38" fillId="0" borderId="24" xfId="0" applyFont="1" applyBorder="1"/>
    <xf numFmtId="0" fontId="25" fillId="0" borderId="24" xfId="0" applyFont="1" applyBorder="1" applyAlignment="1">
      <alignment horizontal="left"/>
    </xf>
    <xf numFmtId="0" fontId="12" fillId="0" borderId="24" xfId="0" applyFont="1" applyBorder="1" applyAlignment="1">
      <alignment horizontal="center"/>
    </xf>
    <xf numFmtId="1" fontId="15" fillId="4" borderId="25" xfId="1" applyNumberFormat="1" applyFont="1" applyFill="1" applyBorder="1"/>
    <xf numFmtId="1" fontId="15" fillId="4" borderId="26" xfId="1" applyNumberFormat="1" applyFont="1" applyFill="1" applyBorder="1"/>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1" fontId="9" fillId="0" borderId="0" xfId="0" applyNumberFormat="1" applyFont="1" applyAlignment="1">
      <alignment horizontal="center"/>
    </xf>
    <xf numFmtId="14" fontId="40" fillId="0" borderId="7" xfId="0" applyNumberFormat="1" applyFont="1" applyBorder="1" applyAlignment="1">
      <alignment horizontal="center" shrinkToFit="1"/>
    </xf>
    <xf numFmtId="0" fontId="40" fillId="0" borderId="8" xfId="0" applyFont="1" applyBorder="1" applyAlignment="1">
      <alignment horizontal="center" shrinkToFit="1"/>
    </xf>
    <xf numFmtId="0" fontId="41" fillId="0" borderId="8" xfId="0" applyFont="1" applyBorder="1"/>
    <xf numFmtId="0" fontId="42" fillId="0" borderId="8" xfId="0" applyFont="1" applyBorder="1" applyAlignment="1">
      <alignment horizontal="center"/>
    </xf>
    <xf numFmtId="0" fontId="43" fillId="0" borderId="8" xfId="0" applyFont="1" applyBorder="1" applyAlignment="1">
      <alignment horizontal="center"/>
    </xf>
    <xf numFmtId="0" fontId="44" fillId="0" borderId="8" xfId="0" applyFont="1" applyBorder="1" applyAlignment="1">
      <alignment horizontal="center"/>
    </xf>
    <xf numFmtId="0" fontId="44" fillId="0" borderId="9" xfId="0" applyFont="1" applyBorder="1" applyAlignment="1">
      <alignment horizontal="center"/>
    </xf>
    <xf numFmtId="1" fontId="12" fillId="0" borderId="15" xfId="0" applyNumberFormat="1" applyFont="1" applyBorder="1"/>
    <xf numFmtId="0" fontId="40" fillId="0" borderId="0" xfId="0" applyFont="1" applyAlignment="1">
      <alignment shrinkToFit="1"/>
    </xf>
    <xf numFmtId="0" fontId="40" fillId="0" borderId="0" xfId="0" applyFont="1"/>
    <xf numFmtId="0" fontId="45" fillId="0" borderId="0" xfId="0" applyFont="1" applyAlignment="1">
      <alignment horizontal="left"/>
    </xf>
    <xf numFmtId="0" fontId="23" fillId="0" borderId="0" xfId="0" applyFont="1" applyAlignment="1">
      <alignment horizontal="center"/>
    </xf>
    <xf numFmtId="0" fontId="46" fillId="0" borderId="0" xfId="1" applyFont="1" applyAlignment="1">
      <alignment horizontal="center"/>
    </xf>
    <xf numFmtId="1" fontId="23" fillId="0" borderId="0" xfId="0" applyNumberFormat="1" applyFont="1" applyAlignment="1">
      <alignment horizontal="left"/>
    </xf>
    <xf numFmtId="0" fontId="1" fillId="0" borderId="0" xfId="1" applyAlignment="1">
      <alignment horizontal="center"/>
    </xf>
    <xf numFmtId="1" fontId="23" fillId="0" borderId="0" xfId="0" applyNumberFormat="1" applyFont="1" applyAlignment="1">
      <alignment horizontal="center"/>
    </xf>
    <xf numFmtId="0" fontId="47" fillId="0" borderId="0" xfId="1" applyFont="1" applyAlignment="1">
      <alignment horizontal="center"/>
    </xf>
    <xf numFmtId="0" fontId="48" fillId="8" borderId="0" xfId="1" applyFont="1" applyFill="1"/>
    <xf numFmtId="0" fontId="49" fillId="8" borderId="0" xfId="1" applyFont="1" applyFill="1"/>
    <xf numFmtId="0" fontId="11" fillId="8" borderId="0" xfId="1" applyFont="1" applyFill="1"/>
    <xf numFmtId="1" fontId="15" fillId="8" borderId="0" xfId="1" applyNumberFormat="1" applyFont="1" applyFill="1"/>
    <xf numFmtId="164" fontId="12" fillId="0" borderId="0" xfId="0" applyNumberFormat="1" applyFont="1" applyAlignment="1">
      <alignment horizontal="center"/>
    </xf>
    <xf numFmtId="0" fontId="50" fillId="0" borderId="0" xfId="1" applyFont="1"/>
    <xf numFmtId="0" fontId="1" fillId="0" borderId="0" xfId="1"/>
    <xf numFmtId="0" fontId="5" fillId="0" borderId="0" xfId="1" applyFont="1"/>
    <xf numFmtId="2" fontId="51" fillId="0" borderId="0" xfId="1" applyNumberFormat="1" applyFont="1"/>
    <xf numFmtId="0" fontId="23" fillId="0" borderId="0" xfId="1" applyFont="1"/>
    <xf numFmtId="1" fontId="1" fillId="0" borderId="0" xfId="1" applyNumberFormat="1"/>
    <xf numFmtId="1" fontId="9" fillId="0" borderId="0" xfId="1" applyNumberFormat="1" applyFont="1"/>
    <xf numFmtId="0" fontId="23" fillId="0" borderId="0" xfId="1" applyFont="1" applyAlignment="1">
      <alignment horizontal="center" vertical="center"/>
    </xf>
    <xf numFmtId="0" fontId="1" fillId="0" borderId="0" xfId="1" applyAlignment="1">
      <alignment horizontal="center" vertical="center"/>
    </xf>
    <xf numFmtId="1" fontId="40" fillId="0" borderId="0" xfId="1" applyNumberFormat="1" applyFont="1" applyAlignment="1">
      <alignment horizontal="center" vertical="center" wrapText="1"/>
    </xf>
    <xf numFmtId="1" fontId="1" fillId="0" borderId="0" xfId="1" applyNumberFormat="1" applyAlignment="1">
      <alignment horizontal="center" vertical="center"/>
    </xf>
    <xf numFmtId="0" fontId="8" fillId="0" borderId="0" xfId="0" applyFont="1" applyAlignment="1">
      <alignment horizontal="center" shrinkToFit="1"/>
    </xf>
    <xf numFmtId="165" fontId="1" fillId="0" borderId="0" xfId="1" applyNumberFormat="1" applyAlignment="1">
      <alignment horizontal="center"/>
    </xf>
    <xf numFmtId="1" fontId="1" fillId="9" borderId="0" xfId="1" applyNumberFormat="1" applyFill="1"/>
    <xf numFmtId="1" fontId="1" fillId="0" borderId="0" xfId="1" applyNumberFormat="1" applyAlignment="1">
      <alignment horizontal="center"/>
    </xf>
    <xf numFmtId="2" fontId="52" fillId="0" borderId="0" xfId="1" applyNumberFormat="1" applyFont="1" applyAlignment="1">
      <alignment horizontal="center"/>
    </xf>
    <xf numFmtId="0" fontId="52" fillId="0" borderId="0" xfId="0" applyFont="1" applyAlignment="1">
      <alignment horizontal="center"/>
    </xf>
    <xf numFmtId="0" fontId="52" fillId="0" borderId="0" xfId="0" applyFont="1"/>
    <xf numFmtId="1" fontId="52" fillId="0" borderId="0" xfId="0" applyNumberFormat="1" applyFont="1" applyAlignment="1">
      <alignment horizontal="center"/>
    </xf>
    <xf numFmtId="2" fontId="1" fillId="0" borderId="0" xfId="1" applyNumberFormat="1"/>
    <xf numFmtId="2" fontId="1" fillId="0" borderId="0" xfId="1" applyNumberFormat="1" applyAlignment="1">
      <alignment horizontal="center"/>
    </xf>
    <xf numFmtId="1" fontId="49" fillId="0" borderId="15" xfId="1" applyNumberFormat="1" applyFont="1" applyBorder="1"/>
    <xf numFmtId="1" fontId="49" fillId="4" borderId="15" xfId="1" applyNumberFormat="1" applyFont="1" applyFill="1" applyBorder="1" applyAlignment="1">
      <alignment horizontal="center"/>
    </xf>
    <xf numFmtId="0" fontId="8" fillId="0" borderId="8" xfId="0" applyFont="1" applyBorder="1" applyAlignment="1">
      <alignment shrinkToFit="1"/>
    </xf>
    <xf numFmtId="0" fontId="1" fillId="0" borderId="8" xfId="1" applyBorder="1"/>
    <xf numFmtId="1" fontId="49" fillId="0" borderId="8" xfId="1" applyNumberFormat="1" applyFont="1" applyBorder="1"/>
    <xf numFmtId="2" fontId="49" fillId="0" borderId="0" xfId="1" applyNumberFormat="1" applyFont="1"/>
    <xf numFmtId="17" fontId="1" fillId="0" borderId="0" xfId="1" applyNumberFormat="1" applyAlignment="1">
      <alignment horizontal="center"/>
    </xf>
    <xf numFmtId="0" fontId="23" fillId="0" borderId="0" xfId="1" applyFont="1" applyAlignment="1">
      <alignment horizontal="left" indent="1"/>
    </xf>
    <xf numFmtId="1" fontId="1" fillId="0" borderId="15" xfId="1" applyNumberFormat="1" applyBorder="1"/>
    <xf numFmtId="9" fontId="5" fillId="0" borderId="0" xfId="1" applyNumberFormat="1" applyFont="1" applyAlignment="1">
      <alignment horizontal="center"/>
    </xf>
    <xf numFmtId="0" fontId="53" fillId="0" borderId="0" xfId="1" applyFont="1" applyAlignment="1">
      <alignment horizontal="left"/>
    </xf>
    <xf numFmtId="2" fontId="9" fillId="0" borderId="0" xfId="1" applyNumberFormat="1" applyFont="1" applyAlignment="1">
      <alignment horizontal="center"/>
    </xf>
    <xf numFmtId="0" fontId="9" fillId="0" borderId="0" xfId="0" applyFont="1" applyAlignment="1">
      <alignment horizontal="center"/>
    </xf>
    <xf numFmtId="0" fontId="9" fillId="0" borderId="0" xfId="0" applyFont="1"/>
    <xf numFmtId="15" fontId="8" fillId="0" borderId="0" xfId="0" applyNumberFormat="1" applyFont="1" applyAlignment="1">
      <alignment horizontal="center" shrinkToFit="1"/>
    </xf>
    <xf numFmtId="1" fontId="53" fillId="0" borderId="0" xfId="1" applyNumberFormat="1" applyFont="1" applyAlignment="1">
      <alignment horizontal="left"/>
    </xf>
    <xf numFmtId="1" fontId="34" fillId="0" borderId="0" xfId="1" applyNumberFormat="1" applyFont="1" applyAlignment="1">
      <alignment horizontal="left"/>
    </xf>
    <xf numFmtId="2" fontId="49" fillId="0" borderId="0" xfId="1" applyNumberFormat="1" applyFont="1" applyAlignment="1">
      <alignment horizontal="center"/>
    </xf>
    <xf numFmtId="1" fontId="53" fillId="0" borderId="0" xfId="1" applyNumberFormat="1" applyFont="1" applyAlignment="1">
      <alignment horizontal="right"/>
    </xf>
    <xf numFmtId="1" fontId="1" fillId="0" borderId="0" xfId="1" applyNumberFormat="1" applyAlignment="1">
      <alignment horizontal="right"/>
    </xf>
    <xf numFmtId="0" fontId="12" fillId="0" borderId="8" xfId="0" applyFont="1" applyBorder="1"/>
    <xf numFmtId="0" fontId="23" fillId="0" borderId="8" xfId="1" applyFont="1" applyBorder="1"/>
    <xf numFmtId="1" fontId="1" fillId="0" borderId="8" xfId="1" applyNumberFormat="1" applyBorder="1" applyAlignment="1">
      <alignment horizontal="right"/>
    </xf>
    <xf numFmtId="1" fontId="1" fillId="0" borderId="8" xfId="1" applyNumberFormat="1" applyBorder="1"/>
    <xf numFmtId="2" fontId="49" fillId="0" borderId="8" xfId="1" applyNumberFormat="1" applyFont="1" applyBorder="1" applyAlignment="1">
      <alignment horizontal="center"/>
    </xf>
    <xf numFmtId="14" fontId="1" fillId="0" borderId="0" xfId="1" applyNumberFormat="1" applyAlignment="1">
      <alignment horizontal="center"/>
    </xf>
    <xf numFmtId="2" fontId="54" fillId="0" borderId="0" xfId="1" applyNumberFormat="1" applyFont="1" applyAlignment="1">
      <alignment horizontal="center"/>
    </xf>
    <xf numFmtId="0" fontId="54" fillId="0" borderId="0" xfId="0" applyFont="1" applyAlignment="1">
      <alignment horizontal="center"/>
    </xf>
    <xf numFmtId="1" fontId="12" fillId="0" borderId="0" xfId="0" applyNumberFormat="1" applyFont="1" applyAlignment="1">
      <alignment horizontal="right"/>
    </xf>
    <xf numFmtId="0" fontId="54" fillId="0" borderId="0" xfId="0" applyFont="1"/>
    <xf numFmtId="1" fontId="54" fillId="0" borderId="0" xfId="0" applyNumberFormat="1" applyFont="1" applyAlignment="1">
      <alignment horizontal="center"/>
    </xf>
    <xf numFmtId="1" fontId="1" fillId="0" borderId="0" xfId="0" applyNumberFormat="1" applyFont="1" applyAlignment="1">
      <alignment horizontal="center"/>
    </xf>
    <xf numFmtId="17" fontId="1" fillId="0" borderId="0" xfId="1" applyNumberFormat="1"/>
    <xf numFmtId="0" fontId="55" fillId="0" borderId="1" xfId="1" applyFont="1" applyBorder="1"/>
    <xf numFmtId="0" fontId="7" fillId="0" borderId="2" xfId="0" applyFont="1" applyBorder="1"/>
    <xf numFmtId="0" fontId="56" fillId="0" borderId="2" xfId="0" applyFont="1" applyBorder="1" applyAlignment="1">
      <alignment horizontal="center"/>
    </xf>
    <xf numFmtId="0" fontId="56" fillId="0" borderId="3" xfId="0" applyFont="1" applyBorder="1" applyAlignment="1">
      <alignment horizontal="center"/>
    </xf>
    <xf numFmtId="0" fontId="7" fillId="0" borderId="0" xfId="0" applyFont="1" applyAlignment="1">
      <alignment horizontal="center"/>
    </xf>
    <xf numFmtId="0" fontId="57" fillId="0" borderId="0" xfId="0" applyFont="1"/>
    <xf numFmtId="0" fontId="9" fillId="0" borderId="4" xfId="1" applyFont="1" applyBorder="1"/>
    <xf numFmtId="0" fontId="17" fillId="0" borderId="0" xfId="1" applyFont="1"/>
    <xf numFmtId="0" fontId="58" fillId="0" borderId="4" xfId="0" applyFont="1" applyBorder="1" applyAlignment="1">
      <alignment horizontal="center" vertical="center"/>
    </xf>
    <xf numFmtId="0" fontId="60" fillId="0" borderId="0" xfId="0" applyFont="1" applyAlignment="1">
      <alignment horizontal="left" vertical="top" wrapText="1"/>
    </xf>
    <xf numFmtId="0" fontId="60" fillId="0" borderId="5" xfId="0" applyFont="1" applyBorder="1" applyAlignment="1">
      <alignment horizontal="left" vertical="top" wrapText="1"/>
    </xf>
    <xf numFmtId="0" fontId="16" fillId="0" borderId="0" xfId="1" applyFont="1" applyAlignment="1">
      <alignment horizontal="left" vertical="center"/>
    </xf>
    <xf numFmtId="0" fontId="7" fillId="0" borderId="4" xfId="0" applyFont="1" applyBorder="1" applyAlignment="1">
      <alignment shrinkToFit="1"/>
    </xf>
    <xf numFmtId="0" fontId="61" fillId="0" borderId="0" xfId="0" applyFont="1" applyAlignment="1">
      <alignment horizontal="left" vertical="top" wrapText="1"/>
    </xf>
    <xf numFmtId="0" fontId="61" fillId="0" borderId="5" xfId="0" applyFont="1" applyBorder="1" applyAlignment="1">
      <alignment horizontal="left" vertical="top" wrapText="1"/>
    </xf>
    <xf numFmtId="0" fontId="7" fillId="0" borderId="7" xfId="0" applyFont="1" applyBorder="1" applyAlignment="1">
      <alignment shrinkToFit="1"/>
    </xf>
    <xf numFmtId="0" fontId="60" fillId="0" borderId="8" xfId="0" applyFont="1" applyBorder="1" applyAlignment="1">
      <alignment horizontal="left" vertical="top" wrapText="1"/>
    </xf>
    <xf numFmtId="0" fontId="7" fillId="0" borderId="9" xfId="0" applyFont="1" applyBorder="1"/>
    <xf numFmtId="0" fontId="7" fillId="0" borderId="0" xfId="0" applyFont="1" applyAlignment="1">
      <alignment shrinkToFit="1"/>
    </xf>
    <xf numFmtId="0" fontId="60" fillId="0" borderId="0" xfId="0" applyFont="1" applyAlignment="1">
      <alignment horizontal="left" vertical="top" wrapText="1"/>
    </xf>
    <xf numFmtId="0" fontId="60" fillId="0" borderId="2" xfId="0" applyFont="1" applyBorder="1" applyAlignment="1">
      <alignment horizontal="left" vertical="top" wrapText="1"/>
    </xf>
    <xf numFmtId="0" fontId="63" fillId="0" borderId="2" xfId="0" applyFont="1" applyBorder="1" applyAlignment="1">
      <alignment horizontal="center"/>
    </xf>
    <xf numFmtId="0" fontId="63" fillId="0" borderId="3" xfId="0" applyFont="1" applyBorder="1" applyAlignment="1">
      <alignment horizontal="center"/>
    </xf>
    <xf numFmtId="0" fontId="12" fillId="0" borderId="0" xfId="1" applyFont="1"/>
    <xf numFmtId="0" fontId="64" fillId="0" borderId="0" xfId="1" applyFont="1"/>
    <xf numFmtId="0" fontId="12" fillId="0" borderId="0" xfId="1" applyFont="1" applyAlignment="1">
      <alignment horizontal="right"/>
    </xf>
    <xf numFmtId="0" fontId="7" fillId="0" borderId="0" xfId="1" applyFont="1"/>
    <xf numFmtId="0" fontId="8" fillId="0" borderId="0" xfId="1" applyFont="1"/>
    <xf numFmtId="0" fontId="8" fillId="0" borderId="7" xfId="0" applyFont="1" applyBorder="1" applyAlignment="1">
      <alignment shrinkToFit="1"/>
    </xf>
    <xf numFmtId="0" fontId="7" fillId="0" borderId="8" xfId="1" applyFont="1" applyBorder="1"/>
    <xf numFmtId="0" fontId="12" fillId="0" borderId="9" xfId="0" applyFont="1" applyBorder="1"/>
    <xf numFmtId="0" fontId="56" fillId="0" borderId="1" xfId="1" applyFont="1" applyBorder="1"/>
    <xf numFmtId="0" fontId="23" fillId="0" borderId="2" xfId="1" applyFont="1" applyBorder="1" applyAlignment="1">
      <alignment horizontal="center"/>
    </xf>
    <xf numFmtId="0" fontId="1" fillId="0" borderId="2" xfId="1" applyBorder="1" applyAlignment="1">
      <alignment horizontal="center"/>
    </xf>
    <xf numFmtId="0" fontId="30" fillId="0" borderId="2" xfId="1" applyFont="1" applyBorder="1"/>
    <xf numFmtId="0" fontId="12" fillId="0" borderId="2" xfId="0" applyFont="1" applyBorder="1"/>
    <xf numFmtId="0" fontId="12" fillId="0" borderId="3" xfId="0" applyFont="1" applyBorder="1"/>
    <xf numFmtId="0" fontId="12" fillId="0" borderId="4" xfId="1" applyFont="1" applyBorder="1" applyAlignment="1">
      <alignment horizontal="left" indent="1"/>
    </xf>
    <xf numFmtId="0" fontId="12" fillId="0" borderId="0" xfId="1" applyFont="1" applyAlignment="1">
      <alignment horizontal="left" indent="1"/>
    </xf>
    <xf numFmtId="0" fontId="1" fillId="0" borderId="0" xfId="1" applyAlignment="1">
      <alignment horizontal="right"/>
    </xf>
    <xf numFmtId="0" fontId="56" fillId="0" borderId="4" xfId="1" applyFont="1" applyBorder="1"/>
    <xf numFmtId="0" fontId="22" fillId="0" borderId="0" xfId="1" applyFont="1" applyAlignment="1">
      <alignment horizontal="left"/>
    </xf>
    <xf numFmtId="0" fontId="1" fillId="0" borderId="0" xfId="1" applyAlignment="1">
      <alignment horizontal="left" indent="1"/>
    </xf>
    <xf numFmtId="0" fontId="56" fillId="0" borderId="7" xfId="1" applyFont="1" applyBorder="1"/>
    <xf numFmtId="0" fontId="65" fillId="0" borderId="8" xfId="1" applyFont="1" applyBorder="1"/>
    <xf numFmtId="0" fontId="1" fillId="0" borderId="8" xfId="1" applyBorder="1" applyAlignment="1">
      <alignment horizontal="right"/>
    </xf>
    <xf numFmtId="0" fontId="15" fillId="0" borderId="0" xfId="1" applyFont="1"/>
  </cellXfs>
  <cellStyles count="3">
    <cellStyle name="Comma 2" xfId="2" xr:uid="{3941F644-1B27-4880-B53E-6EC82896F50C}"/>
    <cellStyle name="Normal" xfId="0" builtinId="0"/>
    <cellStyle name="Normal 2 2" xfId="1" xr:uid="{0BDCD761-CFF4-406A-8DED-EF0C65CFC61A}"/>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2D69-99C7-42C9-9919-BA0470F135E5}">
  <sheetPr>
    <pageSetUpPr fitToPage="1"/>
  </sheetPr>
  <dimension ref="A1:N134"/>
  <sheetViews>
    <sheetView showZeros="0" tabSelected="1" zoomScale="120" workbookViewId="0">
      <selection sqref="A1:C1"/>
    </sheetView>
  </sheetViews>
  <sheetFormatPr defaultColWidth="9.109375" defaultRowHeight="15" customHeight="1" x14ac:dyDescent="0.25"/>
  <cols>
    <col min="1" max="1" width="4" style="97"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 style="18" customWidth="1"/>
    <col min="11" max="11" width="31.21875" style="18" customWidth="1"/>
    <col min="12" max="12" width="9.6640625" style="18" customWidth="1"/>
    <col min="13" max="13" width="10.44140625" style="18" customWidth="1"/>
    <col min="14" max="14" width="12"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27987</v>
      </c>
      <c r="I2" s="16">
        <f>IF(H2&lt;21642,"Sr",0)</f>
        <v>0</v>
      </c>
      <c r="J2" s="17"/>
      <c r="M2" s="17" t="s">
        <v>8</v>
      </c>
      <c r="N2" s="19">
        <v>44752</v>
      </c>
    </row>
    <row r="3" spans="1:14" ht="15" customHeight="1" x14ac:dyDescent="0.25">
      <c r="A3" s="20"/>
      <c r="B3" s="21" t="s">
        <v>9</v>
      </c>
      <c r="G3" s="22"/>
      <c r="H3" s="23" t="s">
        <v>10</v>
      </c>
      <c r="I3" s="24"/>
      <c r="K3" s="25" t="s">
        <v>11</v>
      </c>
      <c r="L3" s="18">
        <v>4800000</v>
      </c>
      <c r="N3" s="26" t="s">
        <v>12</v>
      </c>
    </row>
    <row r="4" spans="1:14" ht="15" customHeight="1" x14ac:dyDescent="0.25">
      <c r="A4" s="27"/>
      <c r="B4" s="28" t="s">
        <v>13</v>
      </c>
      <c r="C4" s="29" t="s">
        <v>14</v>
      </c>
      <c r="G4" s="30">
        <f>+L7</f>
        <v>5815000</v>
      </c>
      <c r="H4" s="31"/>
      <c r="I4" s="32"/>
      <c r="K4" s="18" t="s">
        <v>15</v>
      </c>
      <c r="L4" s="18">
        <v>600000</v>
      </c>
      <c r="N4" s="33">
        <v>44773</v>
      </c>
    </row>
    <row r="5" spans="1:14" ht="15" customHeight="1" x14ac:dyDescent="0.25">
      <c r="A5" s="27"/>
      <c r="B5" s="28" t="s">
        <v>16</v>
      </c>
      <c r="C5" s="29" t="s">
        <v>17</v>
      </c>
      <c r="G5" s="30">
        <f>+L8+L9</f>
        <v>70000</v>
      </c>
      <c r="H5" s="31"/>
      <c r="I5" s="32"/>
      <c r="K5" s="18" t="s">
        <v>18</v>
      </c>
      <c r="L5" s="18">
        <v>400000</v>
      </c>
      <c r="N5" s="34" t="s">
        <v>19</v>
      </c>
    </row>
    <row r="6" spans="1:14" ht="15" customHeight="1" thickBot="1" x14ac:dyDescent="0.3">
      <c r="A6" s="27"/>
      <c r="B6" s="28" t="s">
        <v>20</v>
      </c>
      <c r="C6" s="29" t="s">
        <v>21</v>
      </c>
      <c r="G6" s="35"/>
      <c r="H6" s="31"/>
      <c r="I6" s="32"/>
      <c r="K6" s="18" t="s">
        <v>22</v>
      </c>
      <c r="L6" s="18">
        <v>15000</v>
      </c>
      <c r="M6" s="18">
        <v>14000</v>
      </c>
      <c r="N6" s="36">
        <v>44835</v>
      </c>
    </row>
    <row r="7" spans="1:14" ht="15" customHeight="1" thickBot="1" x14ac:dyDescent="0.3">
      <c r="A7" s="27"/>
      <c r="B7" s="21"/>
      <c r="C7" s="29"/>
      <c r="F7" s="37" t="s">
        <v>23</v>
      </c>
      <c r="G7" s="38">
        <f>G4+G5+G6</f>
        <v>5885000</v>
      </c>
      <c r="H7" s="31"/>
      <c r="I7" s="32"/>
      <c r="L7" s="39">
        <f>SUM(L3:L6)</f>
        <v>5815000</v>
      </c>
      <c r="M7" s="39">
        <f>SUM(M3:M6)</f>
        <v>14000</v>
      </c>
      <c r="N7" s="40" t="s">
        <v>24</v>
      </c>
    </row>
    <row r="8" spans="1:14" ht="15" customHeight="1" thickTop="1" x14ac:dyDescent="0.25">
      <c r="A8" s="27"/>
      <c r="B8" s="41" t="s">
        <v>25</v>
      </c>
      <c r="C8" s="29" t="s">
        <v>26</v>
      </c>
      <c r="G8" s="35">
        <f>M7+M8</f>
        <v>82000</v>
      </c>
      <c r="H8" s="31"/>
      <c r="I8" s="32"/>
      <c r="K8" s="25" t="s">
        <v>27</v>
      </c>
      <c r="L8" s="18">
        <v>70000</v>
      </c>
      <c r="M8" s="18">
        <v>68000</v>
      </c>
      <c r="N8" s="42" t="s">
        <v>28</v>
      </c>
    </row>
    <row r="9" spans="1:14" ht="15" customHeight="1" thickBot="1" x14ac:dyDescent="0.3">
      <c r="A9" s="27"/>
      <c r="B9" s="21"/>
      <c r="F9" s="37" t="s">
        <v>29</v>
      </c>
      <c r="G9" s="43">
        <f>G7-G8</f>
        <v>5803000</v>
      </c>
      <c r="H9" s="31"/>
      <c r="I9" s="32"/>
      <c r="K9" s="44" t="s">
        <v>30</v>
      </c>
      <c r="N9" s="45">
        <v>5000</v>
      </c>
    </row>
    <row r="10" spans="1:14" ht="15" customHeight="1" x14ac:dyDescent="0.25">
      <c r="A10" s="27"/>
      <c r="B10" s="28" t="s">
        <v>31</v>
      </c>
      <c r="C10" s="44" t="s">
        <v>32</v>
      </c>
      <c r="G10" s="35">
        <v>50000</v>
      </c>
      <c r="H10" s="31">
        <f>G9-G10</f>
        <v>5753000</v>
      </c>
      <c r="I10" s="32"/>
      <c r="J10" s="17"/>
      <c r="K10" s="46" t="s">
        <v>33</v>
      </c>
    </row>
    <row r="11" spans="1:14" ht="21" customHeight="1" x14ac:dyDescent="0.25">
      <c r="A11" s="27"/>
      <c r="B11" s="21" t="s">
        <v>34</v>
      </c>
      <c r="E11" s="47" t="s">
        <v>35</v>
      </c>
      <c r="G11" s="22"/>
      <c r="H11" s="31"/>
      <c r="I11" s="32"/>
    </row>
    <row r="12" spans="1:14" ht="15" customHeight="1" x14ac:dyDescent="0.25">
      <c r="A12" s="27"/>
      <c r="C12" s="48" t="s">
        <v>36</v>
      </c>
      <c r="D12" s="29"/>
      <c r="E12" s="49"/>
      <c r="F12" s="17"/>
      <c r="G12" s="50" t="s">
        <v>37</v>
      </c>
      <c r="H12" s="51"/>
      <c r="I12" s="32"/>
    </row>
    <row r="13" spans="1:14" ht="15" customHeight="1" x14ac:dyDescent="0.25">
      <c r="A13" s="27"/>
      <c r="C13" s="52" t="s">
        <v>38</v>
      </c>
      <c r="D13" s="29"/>
      <c r="E13" s="49"/>
      <c r="F13" s="17"/>
      <c r="G13" s="53" t="s">
        <v>37</v>
      </c>
      <c r="H13" s="51"/>
      <c r="I13" s="32"/>
    </row>
    <row r="14" spans="1:14" ht="15" customHeight="1" x14ac:dyDescent="0.25">
      <c r="A14" s="27"/>
      <c r="C14" s="52"/>
      <c r="D14" s="29"/>
      <c r="E14" s="49"/>
      <c r="F14" s="17"/>
      <c r="G14" s="54" t="s">
        <v>37</v>
      </c>
      <c r="H14" s="51"/>
      <c r="I14" s="32"/>
      <c r="K14" s="18" t="s">
        <v>39</v>
      </c>
      <c r="M14" s="18">
        <v>310000</v>
      </c>
    </row>
    <row r="15" spans="1:14" ht="15" customHeight="1" x14ac:dyDescent="0.25">
      <c r="A15" s="27"/>
      <c r="B15" s="28" t="s">
        <v>40</v>
      </c>
      <c r="C15" s="44" t="s">
        <v>41</v>
      </c>
      <c r="D15" s="29"/>
      <c r="E15" s="44" t="s">
        <v>42</v>
      </c>
      <c r="F15" s="17" t="s">
        <v>37</v>
      </c>
      <c r="H15" s="51"/>
      <c r="I15" s="32"/>
      <c r="K15" s="46" t="s">
        <v>43</v>
      </c>
      <c r="L15" s="55"/>
    </row>
    <row r="16" spans="1:14" ht="15" customHeight="1" x14ac:dyDescent="0.25">
      <c r="A16" s="27"/>
      <c r="C16" s="52"/>
      <c r="D16" s="29"/>
      <c r="E16" s="44" t="s">
        <v>44</v>
      </c>
      <c r="F16" s="56" t="s">
        <v>45</v>
      </c>
      <c r="G16" s="57">
        <v>200000</v>
      </c>
      <c r="H16" s="51">
        <f>0-G16</f>
        <v>-200000</v>
      </c>
      <c r="I16" s="32"/>
    </row>
    <row r="17" spans="1:14" ht="15" customHeight="1" x14ac:dyDescent="0.25">
      <c r="A17" s="27"/>
      <c r="B17" s="21" t="s">
        <v>46</v>
      </c>
      <c r="H17" s="51"/>
      <c r="I17" s="32"/>
    </row>
    <row r="18" spans="1:14" ht="15" customHeight="1" x14ac:dyDescent="0.25">
      <c r="A18" s="27"/>
      <c r="C18" s="44" t="s">
        <v>47</v>
      </c>
      <c r="G18" s="58"/>
      <c r="H18" s="51"/>
      <c r="I18" s="32"/>
      <c r="K18" s="18" t="s">
        <v>48</v>
      </c>
      <c r="M18" s="18">
        <v>37110</v>
      </c>
    </row>
    <row r="19" spans="1:14" ht="15" customHeight="1" x14ac:dyDescent="0.25">
      <c r="A19" s="27"/>
      <c r="C19" s="44" t="s">
        <v>49</v>
      </c>
      <c r="G19" s="59"/>
      <c r="H19" s="51">
        <f>G18+G19</f>
        <v>0</v>
      </c>
      <c r="I19" s="32"/>
      <c r="K19" s="60" t="s">
        <v>50</v>
      </c>
      <c r="M19" s="18">
        <v>1950000</v>
      </c>
    </row>
    <row r="20" spans="1:14" ht="15" customHeight="1" x14ac:dyDescent="0.25">
      <c r="A20" s="27"/>
      <c r="B20" s="21" t="s">
        <v>51</v>
      </c>
      <c r="H20" s="51"/>
      <c r="I20" s="32"/>
      <c r="K20" s="61" t="s">
        <v>52</v>
      </c>
    </row>
    <row r="21" spans="1:14" ht="15" customHeight="1" x14ac:dyDescent="0.25">
      <c r="A21" s="27"/>
      <c r="B21" s="62"/>
      <c r="C21" s="48" t="s">
        <v>48</v>
      </c>
      <c r="D21" s="28"/>
      <c r="E21" s="28"/>
      <c r="F21" s="44"/>
      <c r="G21" s="58">
        <f>+M18</f>
        <v>37110</v>
      </c>
      <c r="H21" s="51"/>
      <c r="I21" s="32"/>
      <c r="K21" s="60" t="s">
        <v>53</v>
      </c>
      <c r="M21" s="18">
        <v>80000</v>
      </c>
      <c r="N21" s="28"/>
    </row>
    <row r="22" spans="1:14" ht="15" customHeight="1" x14ac:dyDescent="0.25">
      <c r="A22" s="27"/>
      <c r="B22" s="62"/>
      <c r="C22" s="18" t="s">
        <v>53</v>
      </c>
      <c r="D22" s="28"/>
      <c r="E22" s="28"/>
      <c r="F22" s="44"/>
      <c r="G22" s="58">
        <f>+M21</f>
        <v>80000</v>
      </c>
      <c r="H22" s="51"/>
      <c r="I22" s="32"/>
      <c r="K22" s="63" t="s">
        <v>54</v>
      </c>
      <c r="M22" s="18">
        <v>40000</v>
      </c>
      <c r="N22" s="64"/>
    </row>
    <row r="23" spans="1:14" ht="15" customHeight="1" x14ac:dyDescent="0.25">
      <c r="A23" s="27"/>
      <c r="B23" s="62"/>
      <c r="C23" s="65" t="s">
        <v>55</v>
      </c>
      <c r="D23" s="28"/>
      <c r="E23" s="28"/>
      <c r="F23" s="44"/>
      <c r="G23" s="66"/>
      <c r="H23" s="51"/>
      <c r="I23" s="32"/>
      <c r="K23" s="63" t="s">
        <v>56</v>
      </c>
      <c r="M23" s="18">
        <v>200000</v>
      </c>
      <c r="N23" s="64"/>
    </row>
    <row r="24" spans="1:14" ht="15" customHeight="1" thickBot="1" x14ac:dyDescent="0.3">
      <c r="A24" s="27"/>
      <c r="B24" s="62"/>
      <c r="C24" s="65" t="s">
        <v>57</v>
      </c>
      <c r="G24" s="67">
        <f>L24/70*100</f>
        <v>0</v>
      </c>
      <c r="H24" s="51">
        <f>SUM(G21:G24)</f>
        <v>117110</v>
      </c>
      <c r="I24" s="32"/>
    </row>
    <row r="25" spans="1:14" ht="15" customHeight="1" x14ac:dyDescent="0.25">
      <c r="A25" s="27"/>
      <c r="B25" s="62"/>
      <c r="G25" s="25"/>
      <c r="H25" s="51"/>
      <c r="I25" s="68"/>
      <c r="K25" s="69" t="s">
        <v>58</v>
      </c>
      <c r="L25" s="70"/>
    </row>
    <row r="26" spans="1:14" ht="15" customHeight="1" x14ac:dyDescent="0.25">
      <c r="A26" s="27"/>
      <c r="B26" s="21" t="s">
        <v>59</v>
      </c>
      <c r="E26" s="17"/>
      <c r="F26" s="17"/>
      <c r="G26" s="31"/>
      <c r="H26" s="71">
        <f>SUM(H4:H25)</f>
        <v>5670110</v>
      </c>
      <c r="I26" s="72"/>
      <c r="K26" s="73" t="s">
        <v>60</v>
      </c>
      <c r="L26" s="74"/>
    </row>
    <row r="27" spans="1:14" ht="15" customHeight="1" thickBot="1" x14ac:dyDescent="0.3">
      <c r="A27" s="27"/>
      <c r="B27" s="75" t="s">
        <v>61</v>
      </c>
      <c r="H27" s="51"/>
      <c r="I27" s="32"/>
      <c r="K27" s="76" t="s">
        <v>62</v>
      </c>
      <c r="L27" s="77"/>
    </row>
    <row r="28" spans="1:14" ht="15" customHeight="1" x14ac:dyDescent="0.25">
      <c r="A28" s="27"/>
      <c r="B28" s="78"/>
      <c r="C28" s="47" t="s">
        <v>63</v>
      </c>
      <c r="D28" s="18" t="str">
        <f>+K28</f>
        <v>Recognised Prov Fund</v>
      </c>
      <c r="G28" s="58">
        <f>+M28</f>
        <v>120000</v>
      </c>
      <c r="H28" s="51"/>
      <c r="I28" s="32"/>
      <c r="K28" s="79" t="s">
        <v>64</v>
      </c>
      <c r="M28" s="79">
        <v>120000</v>
      </c>
    </row>
    <row r="29" spans="1:14" ht="15" customHeight="1" x14ac:dyDescent="0.25">
      <c r="A29" s="27"/>
      <c r="B29" s="78"/>
      <c r="C29" s="47" t="s">
        <v>65</v>
      </c>
      <c r="E29" s="80">
        <v>34000</v>
      </c>
      <c r="G29" s="58">
        <v>30000</v>
      </c>
      <c r="H29" s="51"/>
      <c r="I29" s="32"/>
      <c r="K29" s="79" t="s">
        <v>66</v>
      </c>
      <c r="M29" s="79">
        <v>84000</v>
      </c>
    </row>
    <row r="30" spans="1:14" ht="15" customHeight="1" x14ac:dyDescent="0.25">
      <c r="A30" s="27"/>
      <c r="B30" s="78"/>
      <c r="C30" s="47" t="s">
        <v>67</v>
      </c>
      <c r="F30" s="81"/>
      <c r="G30" s="58">
        <v>50000</v>
      </c>
      <c r="H30" s="51"/>
      <c r="I30" s="32"/>
      <c r="K30" s="82" t="s">
        <v>68</v>
      </c>
    </row>
    <row r="31" spans="1:14" ht="15" customHeight="1" x14ac:dyDescent="0.25">
      <c r="A31" s="83">
        <f>+I2</f>
        <v>0</v>
      </c>
      <c r="C31" s="47" t="s">
        <v>69</v>
      </c>
      <c r="D31" s="44" t="s">
        <v>70</v>
      </c>
      <c r="E31" s="17"/>
      <c r="F31" s="17"/>
      <c r="G31" s="84">
        <v>10000</v>
      </c>
      <c r="H31" s="51">
        <f>SUM(G28:G31)</f>
        <v>210000</v>
      </c>
      <c r="I31" s="32"/>
      <c r="K31" s="85" t="s">
        <v>71</v>
      </c>
      <c r="L31" s="86">
        <v>0.05</v>
      </c>
      <c r="M31" s="18">
        <f>250000*5%</f>
        <v>12500</v>
      </c>
    </row>
    <row r="32" spans="1:14" ht="15" customHeight="1" thickBot="1" x14ac:dyDescent="0.3">
      <c r="A32" s="27"/>
      <c r="B32" s="87" t="s">
        <v>72</v>
      </c>
      <c r="E32" s="88">
        <f>IF((H26-H31)&lt;0,0,(H26-H31))</f>
        <v>5460110</v>
      </c>
      <c r="F32" s="89" t="s">
        <v>73</v>
      </c>
      <c r="G32" s="90"/>
      <c r="H32" s="91">
        <f>ROUND((E32/10),0)*10</f>
        <v>5460110</v>
      </c>
      <c r="I32" s="92"/>
      <c r="K32" s="85" t="s">
        <v>74</v>
      </c>
      <c r="L32" s="86">
        <v>0.2</v>
      </c>
      <c r="M32" s="18">
        <f>500000*20%</f>
        <v>100000</v>
      </c>
    </row>
    <row r="33" spans="1:14" ht="15" customHeight="1" thickTop="1" x14ac:dyDescent="0.25">
      <c r="A33" s="27"/>
      <c r="B33" s="81" t="s">
        <v>75</v>
      </c>
      <c r="E33" s="93" t="s">
        <v>76</v>
      </c>
      <c r="F33" s="94" t="s">
        <v>77</v>
      </c>
      <c r="G33" s="93" t="s">
        <v>78</v>
      </c>
      <c r="H33" s="95"/>
      <c r="I33" s="96"/>
      <c r="K33" s="85" t="s">
        <v>79</v>
      </c>
      <c r="L33" s="86">
        <v>0.3</v>
      </c>
      <c r="M33" s="18">
        <f>ROUND((E34-1000000)*30%,0)</f>
        <v>1923033</v>
      </c>
    </row>
    <row r="34" spans="1:14" ht="15" customHeight="1" thickBot="1" x14ac:dyDescent="0.3">
      <c r="A34" s="27"/>
      <c r="B34" s="97"/>
      <c r="C34" s="18" t="s">
        <v>80</v>
      </c>
      <c r="E34" s="25">
        <f>H32+M19</f>
        <v>7410110</v>
      </c>
      <c r="F34" s="98"/>
      <c r="G34" s="18">
        <f>IF(+I2="Sr",ROUND(IF(E34&gt;1000000,(((E34-1000000)*0.3)+110000),IF(E34&gt;500000,(((E34-500000)*0.2)+10000),IF(E34&gt;300000,((E34-300000)*0.05),0))),0),ROUND(IF(E34&gt;1000000,(((E34-1000000)*0.3)+112500),IF(E34&gt;500000,(((E34-500000)*0.2)+12500),IF(E34&gt;250000,((E34-250000)*0.05),0))),0))</f>
        <v>2035533</v>
      </c>
      <c r="H34" s="95"/>
      <c r="I34" s="96"/>
      <c r="M34" s="99">
        <f>SUM(M31:M33)</f>
        <v>2035533</v>
      </c>
    </row>
    <row r="35" spans="1:14" ht="15" customHeight="1" thickTop="1" x14ac:dyDescent="0.25">
      <c r="A35" s="27"/>
      <c r="B35" s="100"/>
      <c r="C35" s="18" t="s">
        <v>81</v>
      </c>
      <c r="E35" s="66">
        <f>M19+250000</f>
        <v>2200000</v>
      </c>
      <c r="F35" s="101" t="s">
        <v>82</v>
      </c>
      <c r="G35" s="84">
        <f>+M39</f>
        <v>472500</v>
      </c>
      <c r="H35" s="102"/>
      <c r="I35" s="103"/>
      <c r="K35" s="82" t="s">
        <v>83</v>
      </c>
    </row>
    <row r="36" spans="1:14" ht="15" customHeight="1" x14ac:dyDescent="0.25">
      <c r="A36" s="27"/>
      <c r="D36" s="98"/>
      <c r="E36" s="17"/>
      <c r="G36" s="54">
        <f>G34-G35</f>
        <v>1563033</v>
      </c>
      <c r="H36" s="104"/>
      <c r="I36" s="105"/>
      <c r="K36" s="85" t="s">
        <v>71</v>
      </c>
      <c r="L36" s="86">
        <v>0.05</v>
      </c>
      <c r="M36" s="18">
        <f>250000*5%</f>
        <v>12500</v>
      </c>
    </row>
    <row r="37" spans="1:14" ht="15" customHeight="1" x14ac:dyDescent="0.25">
      <c r="A37" s="27"/>
      <c r="B37" s="44" t="s">
        <v>84</v>
      </c>
      <c r="C37" s="44" t="s">
        <v>85</v>
      </c>
      <c r="D37" s="98"/>
      <c r="E37" s="17"/>
      <c r="G37" s="106"/>
      <c r="H37" s="107">
        <f>G36-G37</f>
        <v>1563033</v>
      </c>
      <c r="I37" s="108"/>
      <c r="K37" s="85" t="s">
        <v>74</v>
      </c>
      <c r="L37" s="86">
        <v>0.2</v>
      </c>
      <c r="M37" s="18">
        <f>500000*20%</f>
        <v>100000</v>
      </c>
    </row>
    <row r="38" spans="1:14" ht="15" customHeight="1" x14ac:dyDescent="0.25">
      <c r="A38" s="27"/>
      <c r="B38" s="18" t="s">
        <v>86</v>
      </c>
      <c r="C38" s="44"/>
      <c r="D38" s="98"/>
      <c r="E38" s="17"/>
      <c r="G38" s="109">
        <v>0.1</v>
      </c>
      <c r="H38" s="110">
        <f>IF(H32&gt;10000000,H37*15%,IF(H32&gt;5000000,H37*10%,0))</f>
        <v>156303.30000000002</v>
      </c>
      <c r="I38" s="111"/>
      <c r="K38" s="85" t="s">
        <v>79</v>
      </c>
      <c r="L38" s="86">
        <v>0.3</v>
      </c>
      <c r="M38" s="18">
        <f>ROUND((2200000-1000000)*30%,0)</f>
        <v>360000</v>
      </c>
    </row>
    <row r="39" spans="1:14" ht="15" customHeight="1" thickBot="1" x14ac:dyDescent="0.3">
      <c r="A39" s="27"/>
      <c r="C39" s="44"/>
      <c r="D39" s="98"/>
      <c r="E39" s="17"/>
      <c r="G39" s="54"/>
      <c r="H39" s="107">
        <f>H37+H38</f>
        <v>1719336.3</v>
      </c>
      <c r="I39" s="108"/>
      <c r="M39" s="99">
        <f>SUM(M36:M38)</f>
        <v>472500</v>
      </c>
    </row>
    <row r="40" spans="1:14" ht="15" customHeight="1" thickTop="1" thickBot="1" x14ac:dyDescent="0.3">
      <c r="A40" s="27"/>
      <c r="B40" s="44" t="s">
        <v>87</v>
      </c>
      <c r="D40" s="98"/>
      <c r="E40" s="17"/>
      <c r="G40" s="109">
        <v>0.04</v>
      </c>
      <c r="H40" s="110">
        <f>ROUND((H39)*0.04,0)</f>
        <v>68773</v>
      </c>
      <c r="I40" s="111"/>
    </row>
    <row r="41" spans="1:14" ht="15" customHeight="1" x14ac:dyDescent="0.25">
      <c r="A41" s="27"/>
      <c r="B41" s="81" t="s">
        <v>88</v>
      </c>
      <c r="D41" s="98"/>
      <c r="E41" s="89"/>
      <c r="G41" s="17"/>
      <c r="H41" s="104">
        <f>SUM(H39:H40)</f>
        <v>1788109.3</v>
      </c>
      <c r="I41" s="105"/>
      <c r="J41" s="112"/>
      <c r="K41" s="113" t="s">
        <v>89</v>
      </c>
      <c r="L41" s="114"/>
      <c r="M41" s="115"/>
    </row>
    <row r="42" spans="1:14" ht="15" customHeight="1" x14ac:dyDescent="0.3">
      <c r="A42" s="27"/>
      <c r="B42" s="44" t="s">
        <v>90</v>
      </c>
      <c r="D42" s="98"/>
      <c r="E42" s="116" t="s">
        <v>91</v>
      </c>
      <c r="G42" s="117"/>
      <c r="H42" s="104">
        <f>+H58-120</f>
        <v>10338</v>
      </c>
      <c r="I42" s="105"/>
      <c r="J42" s="112"/>
      <c r="K42" s="118"/>
      <c r="L42" s="119"/>
      <c r="M42" s="120"/>
    </row>
    <row r="43" spans="1:14" ht="15" customHeight="1" x14ac:dyDescent="0.25">
      <c r="A43" s="83">
        <f>+A31</f>
        <v>0</v>
      </c>
      <c r="B43" s="44" t="s">
        <v>92</v>
      </c>
      <c r="C43" s="17"/>
      <c r="D43" s="17"/>
      <c r="E43" s="17" t="s">
        <v>93</v>
      </c>
      <c r="G43" s="117"/>
      <c r="H43" s="121">
        <v>5000</v>
      </c>
      <c r="I43" s="122"/>
      <c r="J43" s="112"/>
      <c r="K43" s="123" t="s">
        <v>94</v>
      </c>
      <c r="L43" s="124"/>
      <c r="M43" s="125"/>
    </row>
    <row r="44" spans="1:14" ht="15" customHeight="1" x14ac:dyDescent="0.25">
      <c r="A44" s="27"/>
      <c r="B44" s="81" t="s">
        <v>95</v>
      </c>
      <c r="C44" s="17"/>
      <c r="D44" s="17"/>
      <c r="E44" s="17"/>
      <c r="F44" s="17"/>
      <c r="G44" s="17"/>
      <c r="H44" s="51">
        <f>H41+H43+H42</f>
        <v>1803447.3</v>
      </c>
      <c r="I44" s="32"/>
      <c r="J44" s="44"/>
      <c r="K44" s="118"/>
      <c r="L44" s="119">
        <v>1950000</v>
      </c>
      <c r="M44" s="120"/>
    </row>
    <row r="45" spans="1:14" ht="15" customHeight="1" thickBot="1" x14ac:dyDescent="0.3">
      <c r="A45" s="27"/>
      <c r="B45" s="21" t="s">
        <v>96</v>
      </c>
      <c r="C45" s="17"/>
      <c r="D45" s="17"/>
      <c r="E45" s="17"/>
      <c r="F45" s="17"/>
      <c r="G45" s="17"/>
      <c r="H45" s="51"/>
      <c r="I45" s="32"/>
      <c r="K45" s="126"/>
      <c r="L45" s="127">
        <v>472500</v>
      </c>
      <c r="M45" s="128"/>
    </row>
    <row r="46" spans="1:14" ht="15" customHeight="1" x14ac:dyDescent="0.3">
      <c r="A46" s="27"/>
      <c r="B46" s="129">
        <v>44651</v>
      </c>
      <c r="C46" s="130" t="s">
        <v>97</v>
      </c>
      <c r="D46" s="130"/>
      <c r="E46" s="131"/>
      <c r="F46" s="131"/>
      <c r="G46" s="66">
        <v>80000</v>
      </c>
      <c r="H46" s="51"/>
      <c r="I46" s="32"/>
      <c r="K46" s="132" t="s">
        <v>98</v>
      </c>
      <c r="L46" s="133" t="s">
        <v>99</v>
      </c>
      <c r="M46" s="18" t="s">
        <v>100</v>
      </c>
    </row>
    <row r="47" spans="1:14" ht="15" customHeight="1" x14ac:dyDescent="0.3">
      <c r="A47" s="27"/>
      <c r="B47" s="134"/>
      <c r="C47" s="130" t="s">
        <v>101</v>
      </c>
      <c r="D47" s="130"/>
      <c r="E47" s="131" t="s">
        <v>102</v>
      </c>
      <c r="F47" s="135"/>
      <c r="G47" s="66">
        <v>1650000</v>
      </c>
      <c r="H47" s="51"/>
      <c r="I47" s="32"/>
      <c r="K47" s="18" t="s">
        <v>103</v>
      </c>
      <c r="L47" s="136">
        <v>800000</v>
      </c>
      <c r="M47" s="137">
        <v>2800000</v>
      </c>
      <c r="N47" s="138"/>
    </row>
    <row r="48" spans="1:14" ht="15" customHeight="1" x14ac:dyDescent="0.25">
      <c r="A48" s="27"/>
      <c r="B48" s="129">
        <v>44744</v>
      </c>
      <c r="C48" s="18" t="s">
        <v>104</v>
      </c>
      <c r="G48" s="66">
        <v>48000</v>
      </c>
      <c r="H48" s="51">
        <f>SUM(G46:G48)</f>
        <v>1778000</v>
      </c>
      <c r="I48" s="32"/>
      <c r="K48" s="18" t="s">
        <v>105</v>
      </c>
      <c r="L48" s="136">
        <v>110000</v>
      </c>
      <c r="M48" s="137">
        <v>3800000</v>
      </c>
    </row>
    <row r="49" spans="1:14" ht="15" customHeight="1" thickBot="1" x14ac:dyDescent="0.3">
      <c r="A49" s="139"/>
      <c r="B49" s="140" t="str">
        <f>IF(H49=0,"TAX  PAYABLE / REFUND ",IF(H49&lt;0,"REFUND","TAX  PAYABLE INCLUDING INTT"))</f>
        <v>TAX  PAYABLE INCLUDING INTT</v>
      </c>
      <c r="C49" s="140"/>
      <c r="D49" s="141"/>
      <c r="E49" s="141"/>
      <c r="F49" s="142" t="s">
        <v>106</v>
      </c>
      <c r="G49" s="143"/>
      <c r="H49" s="144">
        <f>ROUND((H44-H48)/10,0)*10</f>
        <v>25450</v>
      </c>
      <c r="I49" s="145"/>
      <c r="K49" s="18" t="s">
        <v>107</v>
      </c>
      <c r="L49" s="136">
        <v>4390000</v>
      </c>
      <c r="M49" s="137"/>
    </row>
    <row r="50" spans="1:14" ht="15" customHeight="1" x14ac:dyDescent="0.25">
      <c r="A50" s="146" t="s">
        <v>108</v>
      </c>
      <c r="B50" s="147"/>
      <c r="C50" s="147"/>
      <c r="D50" s="147"/>
      <c r="E50" s="147"/>
      <c r="F50" s="147"/>
      <c r="G50" s="147"/>
      <c r="H50" s="147"/>
      <c r="I50" s="148"/>
      <c r="K50" s="44" t="s">
        <v>109</v>
      </c>
      <c r="L50" s="136">
        <v>38100</v>
      </c>
      <c r="M50" s="149"/>
    </row>
    <row r="51" spans="1:14" ht="15" customHeight="1" thickBot="1" x14ac:dyDescent="0.3">
      <c r="A51" s="150"/>
      <c r="B51" s="151"/>
      <c r="C51" s="152" t="s">
        <v>110</v>
      </c>
      <c r="D51" s="153"/>
      <c r="E51" s="154" t="s">
        <v>111</v>
      </c>
      <c r="F51" s="155" t="s">
        <v>112</v>
      </c>
      <c r="G51" s="155"/>
      <c r="H51" s="155"/>
      <c r="I51" s="156"/>
      <c r="L51" s="157">
        <f>SUM(L47:L50)</f>
        <v>5338100</v>
      </c>
    </row>
    <row r="52" spans="1:14" ht="15" customHeight="1" x14ac:dyDescent="0.25">
      <c r="A52" s="158"/>
      <c r="B52" s="159"/>
      <c r="C52" s="159"/>
      <c r="D52" s="159"/>
      <c r="E52" s="159"/>
      <c r="F52" s="160"/>
      <c r="G52" s="159"/>
      <c r="H52" s="159"/>
      <c r="I52" s="159"/>
    </row>
    <row r="53" spans="1:14" ht="15" customHeight="1" x14ac:dyDescent="0.25">
      <c r="B53" s="161" t="s">
        <v>113</v>
      </c>
      <c r="C53" s="48" t="s">
        <v>114</v>
      </c>
      <c r="E53" s="162"/>
      <c r="F53" s="162"/>
      <c r="G53" s="162"/>
    </row>
    <row r="54" spans="1:14" ht="15" customHeight="1" x14ac:dyDescent="0.25">
      <c r="B54" s="161" t="s">
        <v>115</v>
      </c>
      <c r="C54" s="163" t="s">
        <v>116</v>
      </c>
      <c r="E54" s="164"/>
      <c r="F54" s="164"/>
      <c r="G54" s="164"/>
    </row>
    <row r="55" spans="1:14" ht="15" customHeight="1" x14ac:dyDescent="0.25">
      <c r="B55" s="165" t="s">
        <v>117</v>
      </c>
      <c r="C55" s="163" t="s">
        <v>118</v>
      </c>
      <c r="E55" s="166"/>
      <c r="F55" s="166"/>
      <c r="G55" s="166"/>
    </row>
    <row r="56" spans="1:14" ht="15" customHeight="1" x14ac:dyDescent="0.25">
      <c r="B56" s="165" t="s">
        <v>119</v>
      </c>
      <c r="C56" s="163" t="s">
        <v>120</v>
      </c>
      <c r="E56" s="164"/>
      <c r="F56" s="164"/>
      <c r="G56" s="164"/>
    </row>
    <row r="58" spans="1:14" ht="15" customHeight="1" x14ac:dyDescent="0.25">
      <c r="B58" s="167" t="s">
        <v>121</v>
      </c>
      <c r="C58" s="168"/>
      <c r="D58" s="168"/>
      <c r="E58" s="168"/>
      <c r="F58" s="168"/>
      <c r="G58" s="169" t="s">
        <v>122</v>
      </c>
      <c r="H58" s="170">
        <f>+H70+H82+H92</f>
        <v>10458</v>
      </c>
      <c r="N58" s="171"/>
    </row>
    <row r="59" spans="1:14" ht="15" customHeight="1" x14ac:dyDescent="0.25">
      <c r="B59" s="172" t="s">
        <v>123</v>
      </c>
      <c r="C59" s="173"/>
      <c r="D59" s="173"/>
      <c r="E59" s="173"/>
      <c r="F59" s="173"/>
      <c r="G59" s="174"/>
      <c r="H59" s="175"/>
      <c r="M59" s="25"/>
      <c r="N59" s="171"/>
    </row>
    <row r="60" spans="1:14" ht="15" customHeight="1" x14ac:dyDescent="0.25">
      <c r="B60" s="176" t="s">
        <v>124</v>
      </c>
      <c r="C60" s="173"/>
      <c r="D60" s="173"/>
      <c r="E60" s="25"/>
      <c r="G60" s="177"/>
      <c r="H60" s="25">
        <f>ROUND(+H41,0)</f>
        <v>1788109</v>
      </c>
    </row>
    <row r="61" spans="1:14" ht="15" customHeight="1" x14ac:dyDescent="0.25">
      <c r="B61" s="176" t="s">
        <v>125</v>
      </c>
      <c r="C61" s="173"/>
      <c r="D61" s="173"/>
      <c r="E61" s="25"/>
      <c r="G61" s="177"/>
      <c r="H61" s="25">
        <f>+G47*-1</f>
        <v>-1650000</v>
      </c>
    </row>
    <row r="62" spans="1:14" ht="15" customHeight="1" thickBot="1" x14ac:dyDescent="0.3">
      <c r="B62" s="176" t="s">
        <v>126</v>
      </c>
      <c r="C62" s="173"/>
      <c r="D62" s="173"/>
      <c r="E62" s="25"/>
      <c r="G62" s="177"/>
      <c r="H62" s="157">
        <f>H60+H61</f>
        <v>138109</v>
      </c>
    </row>
    <row r="63" spans="1:14" ht="15" customHeight="1" thickTop="1" x14ac:dyDescent="0.25">
      <c r="C63" s="173"/>
      <c r="D63" s="173"/>
      <c r="E63" s="25"/>
      <c r="G63" s="178">
        <f>IF(G62&gt;10000,G62,0)</f>
        <v>0</v>
      </c>
      <c r="H63" s="18">
        <f>+H62</f>
        <v>138109</v>
      </c>
    </row>
    <row r="64" spans="1:14" ht="19.8" customHeight="1" x14ac:dyDescent="0.25">
      <c r="B64" s="179" t="s">
        <v>127</v>
      </c>
      <c r="C64" s="180" t="s">
        <v>128</v>
      </c>
      <c r="D64" s="180" t="s">
        <v>129</v>
      </c>
      <c r="E64" s="180" t="s">
        <v>130</v>
      </c>
      <c r="F64" s="181" t="s">
        <v>131</v>
      </c>
      <c r="G64" s="182" t="s">
        <v>132</v>
      </c>
      <c r="H64" s="180" t="s">
        <v>133</v>
      </c>
    </row>
    <row r="65" spans="1:13" ht="15" customHeight="1" x14ac:dyDescent="0.25">
      <c r="A65" s="183">
        <v>1</v>
      </c>
      <c r="B65" s="184"/>
      <c r="C65" s="185"/>
      <c r="D65" s="184">
        <v>44362</v>
      </c>
      <c r="E65" s="177">
        <f>(H63*0.15)</f>
        <v>20716.349999999999</v>
      </c>
      <c r="F65" s="177">
        <f>ROUNDDOWN(+E65,-2)</f>
        <v>20700</v>
      </c>
      <c r="G65" s="177">
        <f>(F65-C65)</f>
        <v>20700</v>
      </c>
      <c r="H65" s="186">
        <f>IF(G65&gt;0,G65*0.12/12*3,0)</f>
        <v>621</v>
      </c>
      <c r="I65" s="187" t="s">
        <v>134</v>
      </c>
      <c r="J65" s="187"/>
      <c r="K65" s="188" t="s">
        <v>135</v>
      </c>
      <c r="M65" s="25"/>
    </row>
    <row r="66" spans="1:13" ht="15" customHeight="1" x14ac:dyDescent="0.25">
      <c r="A66" s="183">
        <v>2</v>
      </c>
      <c r="C66" s="185"/>
      <c r="D66" s="184">
        <v>44454</v>
      </c>
      <c r="E66" s="177">
        <f>H63*0.45</f>
        <v>62149.05</v>
      </c>
      <c r="F66" s="177">
        <f>ROUNDDOWN(+E66,-2)</f>
        <v>62100</v>
      </c>
      <c r="G66" s="177">
        <f>(F66-C66-C65)</f>
        <v>62100</v>
      </c>
      <c r="H66" s="186">
        <f>IF(G66&gt;0,G66*0.12/12*3,0)</f>
        <v>1863</v>
      </c>
      <c r="J66" s="189"/>
      <c r="K66" s="190"/>
      <c r="L66" s="18">
        <f>L64-L65</f>
        <v>0</v>
      </c>
    </row>
    <row r="67" spans="1:13" ht="15" customHeight="1" x14ac:dyDescent="0.25">
      <c r="A67" s="183">
        <v>3</v>
      </c>
      <c r="B67" s="184"/>
      <c r="C67" s="185"/>
      <c r="D67" s="184">
        <v>44545</v>
      </c>
      <c r="E67" s="177">
        <f>H63*0.75</f>
        <v>103581.75</v>
      </c>
      <c r="F67" s="177">
        <f>ROUNDDOWN(+E67,-2)</f>
        <v>103500</v>
      </c>
      <c r="G67" s="177">
        <f>(F67-(C65+C66+C67))</f>
        <v>103500</v>
      </c>
      <c r="H67" s="186">
        <f>IF(G67&gt;0,G67*0.12/12*3,0)</f>
        <v>3105</v>
      </c>
      <c r="J67" s="189" t="s">
        <v>136</v>
      </c>
      <c r="K67" s="190">
        <f>+H70</f>
        <v>6970</v>
      </c>
    </row>
    <row r="68" spans="1:13" ht="15" customHeight="1" x14ac:dyDescent="0.25">
      <c r="A68" s="183">
        <v>4</v>
      </c>
      <c r="B68" s="184"/>
      <c r="C68" s="185"/>
      <c r="D68" s="184">
        <v>44635</v>
      </c>
      <c r="E68" s="177">
        <f>H63*1</f>
        <v>138109</v>
      </c>
      <c r="F68" s="177">
        <f>ROUNDDOWN(+E68,-2)</f>
        <v>138100</v>
      </c>
      <c r="G68" s="177">
        <f>(F68-(C65+C66+C67+C68))</f>
        <v>138100</v>
      </c>
      <c r="H68" s="186">
        <f>IF(G68&gt;0,G68*0.12/12,0)</f>
        <v>1381</v>
      </c>
      <c r="J68" s="189" t="s">
        <v>137</v>
      </c>
      <c r="K68" s="190">
        <f>+K67</f>
        <v>6970</v>
      </c>
      <c r="L68" s="17"/>
    </row>
    <row r="69" spans="1:13" ht="15" customHeight="1" x14ac:dyDescent="0.25">
      <c r="A69" s="183">
        <v>5</v>
      </c>
      <c r="B69" s="184">
        <v>44651</v>
      </c>
      <c r="C69" s="185">
        <v>80000</v>
      </c>
      <c r="D69" s="184">
        <v>44651</v>
      </c>
      <c r="F69" s="191"/>
      <c r="G69" s="192"/>
      <c r="H69" s="190"/>
      <c r="M69" s="25"/>
    </row>
    <row r="70" spans="1:13" ht="15" customHeight="1" thickBot="1" x14ac:dyDescent="0.3">
      <c r="B70" s="173"/>
      <c r="C70" s="193">
        <f>SUM(C65:C69)</f>
        <v>80000</v>
      </c>
      <c r="D70" s="173"/>
      <c r="E70" s="173"/>
      <c r="F70" s="173"/>
      <c r="G70" s="173"/>
      <c r="H70" s="194">
        <f>SUM(H65:H69)</f>
        <v>6970</v>
      </c>
      <c r="J70" s="17"/>
    </row>
    <row r="71" spans="1:13" ht="15" customHeight="1" thickTop="1" thickBot="1" x14ac:dyDescent="0.3">
      <c r="A71" s="195"/>
      <c r="B71" s="196"/>
      <c r="C71" s="197"/>
      <c r="D71" s="196"/>
      <c r="E71" s="196"/>
      <c r="F71" s="196"/>
      <c r="G71" s="196"/>
      <c r="H71" s="196"/>
      <c r="J71" s="17"/>
    </row>
    <row r="72" spans="1:13" ht="15" customHeight="1" x14ac:dyDescent="0.25">
      <c r="B72" s="172" t="s">
        <v>138</v>
      </c>
      <c r="C72" s="198"/>
      <c r="D72" s="173"/>
      <c r="E72" s="173"/>
      <c r="F72" s="173"/>
      <c r="G72" s="173"/>
      <c r="H72" s="164" t="s">
        <v>133</v>
      </c>
      <c r="J72" s="17"/>
    </row>
    <row r="73" spans="1:13" ht="15" customHeight="1" x14ac:dyDescent="0.25">
      <c r="B73" s="176" t="s">
        <v>124</v>
      </c>
      <c r="C73" s="173"/>
      <c r="D73" s="173"/>
      <c r="E73" s="177">
        <f>+H60</f>
        <v>1788109</v>
      </c>
      <c r="F73" s="173"/>
      <c r="G73" s="199">
        <v>44652</v>
      </c>
      <c r="H73" s="186">
        <f>F79*0.01</f>
        <v>581</v>
      </c>
      <c r="J73" s="17"/>
    </row>
    <row r="74" spans="1:13" ht="15" customHeight="1" x14ac:dyDescent="0.25">
      <c r="B74" s="200" t="s">
        <v>125</v>
      </c>
      <c r="C74" s="173"/>
      <c r="D74" s="173"/>
      <c r="E74" s="177">
        <f>+H61</f>
        <v>-1650000</v>
      </c>
      <c r="F74" s="173"/>
      <c r="G74" s="199">
        <v>44682</v>
      </c>
      <c r="H74" s="186">
        <f>+H73</f>
        <v>581</v>
      </c>
      <c r="J74" s="17"/>
    </row>
    <row r="75" spans="1:13" ht="15" customHeight="1" thickBot="1" x14ac:dyDescent="0.3">
      <c r="B75" s="200"/>
      <c r="C75" s="173"/>
      <c r="D75" s="173"/>
      <c r="E75" s="201">
        <f>E73+E74</f>
        <v>138109</v>
      </c>
      <c r="G75" s="199">
        <v>44713</v>
      </c>
      <c r="H75" s="186">
        <f>+H74</f>
        <v>581</v>
      </c>
      <c r="J75" s="17"/>
    </row>
    <row r="76" spans="1:13" ht="15" customHeight="1" thickTop="1" x14ac:dyDescent="0.25">
      <c r="F76" s="173"/>
      <c r="G76" s="199">
        <v>44743</v>
      </c>
      <c r="H76" s="186">
        <f>+H75</f>
        <v>581</v>
      </c>
      <c r="J76" s="17"/>
    </row>
    <row r="77" spans="1:13" ht="15" customHeight="1" x14ac:dyDescent="0.25">
      <c r="B77" s="173" t="s">
        <v>139</v>
      </c>
      <c r="C77" s="198"/>
      <c r="D77" s="202">
        <v>0.9</v>
      </c>
      <c r="E77" s="203">
        <f>ROUND(E75*90%,0)</f>
        <v>124298</v>
      </c>
      <c r="F77" s="173"/>
      <c r="G77" s="199">
        <v>44774</v>
      </c>
      <c r="H77" s="186">
        <f>F83*0.01</f>
        <v>194</v>
      </c>
      <c r="J77" s="17"/>
    </row>
    <row r="78" spans="1:13" ht="15" customHeight="1" x14ac:dyDescent="0.25">
      <c r="B78" s="173" t="s">
        <v>140</v>
      </c>
      <c r="C78" s="198"/>
      <c r="D78" s="173"/>
      <c r="E78" s="177">
        <f>ROUND(+C70,0)</f>
        <v>80000</v>
      </c>
      <c r="F78" s="173"/>
      <c r="G78" s="199">
        <v>44805</v>
      </c>
      <c r="H78" s="186">
        <f t="shared" ref="H78:H79" si="0">+H77</f>
        <v>194</v>
      </c>
      <c r="I78" s="204" t="s">
        <v>134</v>
      </c>
      <c r="J78" s="204"/>
      <c r="K78" s="205" t="s">
        <v>141</v>
      </c>
    </row>
    <row r="79" spans="1:13" ht="15" customHeight="1" x14ac:dyDescent="0.25">
      <c r="B79" s="18" t="s">
        <v>142</v>
      </c>
      <c r="C79" s="198"/>
      <c r="D79" s="173"/>
      <c r="E79" s="177">
        <f>E75-E78</f>
        <v>58109</v>
      </c>
      <c r="F79" s="177">
        <f>ROUNDDOWN(E79,-2)</f>
        <v>58100</v>
      </c>
      <c r="G79" s="199">
        <v>44835</v>
      </c>
      <c r="H79" s="186">
        <f t="shared" si="0"/>
        <v>194</v>
      </c>
      <c r="J79" s="206"/>
      <c r="K79" s="149"/>
    </row>
    <row r="80" spans="1:13" ht="15" customHeight="1" x14ac:dyDescent="0.25">
      <c r="B80" s="207">
        <f>+B48</f>
        <v>44744</v>
      </c>
      <c r="C80" s="173" t="s">
        <v>143</v>
      </c>
      <c r="D80" s="173"/>
      <c r="E80" s="208">
        <f>+G48</f>
        <v>48000</v>
      </c>
      <c r="F80" s="173"/>
      <c r="G80" s="199">
        <v>44866</v>
      </c>
      <c r="H80" s="186"/>
      <c r="J80" s="206" t="s">
        <v>136</v>
      </c>
      <c r="K80" s="149">
        <f>+H82+194</f>
        <v>3100</v>
      </c>
    </row>
    <row r="81" spans="1:12" ht="15" customHeight="1" x14ac:dyDescent="0.25">
      <c r="C81" s="28" t="s">
        <v>144</v>
      </c>
      <c r="E81" s="209">
        <f>H70+H73*4</f>
        <v>9294</v>
      </c>
      <c r="F81" s="173"/>
      <c r="G81" s="199">
        <v>44896</v>
      </c>
      <c r="H81" s="210"/>
      <c r="J81" s="206" t="s">
        <v>137</v>
      </c>
      <c r="K81" s="149">
        <f>K80+F83*0.01</f>
        <v>3294</v>
      </c>
    </row>
    <row r="82" spans="1:12" ht="15" customHeight="1" thickBot="1" x14ac:dyDescent="0.3">
      <c r="C82" s="176" t="s">
        <v>145</v>
      </c>
      <c r="E82" s="211">
        <f>E80-E81</f>
        <v>38706</v>
      </c>
      <c r="F82" s="173"/>
      <c r="G82" s="173"/>
      <c r="H82" s="194">
        <f>SUM(H73:H81)</f>
        <v>2906</v>
      </c>
      <c r="J82" s="17"/>
    </row>
    <row r="83" spans="1:12" ht="15" customHeight="1" thickTop="1" x14ac:dyDescent="0.25">
      <c r="B83" s="18" t="s">
        <v>146</v>
      </c>
      <c r="C83" s="176"/>
      <c r="E83" s="212">
        <f>E79-E82</f>
        <v>19403</v>
      </c>
      <c r="F83" s="177">
        <f>ROUNDDOWN(E83,-2)</f>
        <v>19400</v>
      </c>
      <c r="G83" s="173"/>
      <c r="H83" s="210"/>
      <c r="J83" s="17"/>
    </row>
    <row r="84" spans="1:12" ht="15" customHeight="1" thickBot="1" x14ac:dyDescent="0.3">
      <c r="A84" s="195"/>
      <c r="B84" s="213"/>
      <c r="C84" s="214"/>
      <c r="D84" s="213"/>
      <c r="E84" s="215"/>
      <c r="F84" s="216"/>
      <c r="G84" s="196"/>
      <c r="H84" s="217"/>
      <c r="J84" s="17"/>
    </row>
    <row r="85" spans="1:12" ht="15" customHeight="1" x14ac:dyDescent="0.25">
      <c r="B85" s="172" t="s">
        <v>147</v>
      </c>
      <c r="C85" s="218"/>
      <c r="D85" s="218"/>
      <c r="E85" s="218"/>
      <c r="F85" s="218"/>
      <c r="G85" s="218"/>
      <c r="H85" s="218"/>
      <c r="I85" s="218"/>
      <c r="J85" s="210"/>
    </row>
    <row r="86" spans="1:12" ht="15" customHeight="1" x14ac:dyDescent="0.25">
      <c r="B86" s="176" t="s">
        <v>124</v>
      </c>
      <c r="C86" s="173"/>
      <c r="D86" s="173"/>
      <c r="E86" s="177"/>
      <c r="F86" s="218"/>
      <c r="G86" s="173"/>
      <c r="H86" s="164" t="s">
        <v>133</v>
      </c>
      <c r="I86" s="218"/>
      <c r="J86" s="210"/>
    </row>
    <row r="87" spans="1:12" ht="15" customHeight="1" x14ac:dyDescent="0.25">
      <c r="B87" s="200" t="s">
        <v>125</v>
      </c>
      <c r="C87" s="173"/>
      <c r="D87" s="173"/>
      <c r="E87" s="177"/>
      <c r="F87" s="218"/>
      <c r="G87" s="199">
        <v>44774</v>
      </c>
      <c r="H87" s="186">
        <v>194</v>
      </c>
      <c r="I87" s="218"/>
      <c r="J87" s="210"/>
    </row>
    <row r="88" spans="1:12" ht="15" customHeight="1" x14ac:dyDescent="0.25">
      <c r="B88" s="200" t="s">
        <v>148</v>
      </c>
      <c r="C88" s="173"/>
      <c r="D88" s="173"/>
      <c r="E88" s="212">
        <f>+G45*-1</f>
        <v>0</v>
      </c>
      <c r="F88" s="218"/>
      <c r="G88" s="199">
        <v>44805</v>
      </c>
      <c r="H88" s="186">
        <f>+H87</f>
        <v>194</v>
      </c>
      <c r="I88" s="219" t="s">
        <v>134</v>
      </c>
      <c r="J88" s="219"/>
      <c r="K88" s="220" t="s">
        <v>149</v>
      </c>
    </row>
    <row r="89" spans="1:12" ht="15" customHeight="1" x14ac:dyDescent="0.25">
      <c r="B89" s="200" t="s">
        <v>150</v>
      </c>
      <c r="C89" s="173"/>
      <c r="D89" s="173"/>
      <c r="E89" s="221"/>
      <c r="F89" s="218"/>
      <c r="G89" s="199">
        <v>44835</v>
      </c>
      <c r="H89" s="186">
        <f>+H88</f>
        <v>194</v>
      </c>
      <c r="I89" s="218"/>
      <c r="J89" s="222"/>
      <c r="K89" s="223"/>
    </row>
    <row r="90" spans="1:12" ht="15" customHeight="1" x14ac:dyDescent="0.25">
      <c r="B90" s="200"/>
      <c r="C90" s="173"/>
      <c r="D90" s="173"/>
      <c r="E90" s="221"/>
      <c r="F90" s="218"/>
      <c r="G90" s="199">
        <v>44866</v>
      </c>
      <c r="H90" s="186"/>
      <c r="I90" s="218"/>
      <c r="J90" s="222" t="s">
        <v>136</v>
      </c>
      <c r="K90" s="224">
        <f>H92+194</f>
        <v>776</v>
      </c>
    </row>
    <row r="91" spans="1:12" ht="15" customHeight="1" x14ac:dyDescent="0.25">
      <c r="B91" s="200"/>
      <c r="C91" s="173"/>
      <c r="D91" s="173"/>
      <c r="E91" s="25"/>
      <c r="F91" s="218"/>
      <c r="G91" s="199">
        <v>44896</v>
      </c>
      <c r="H91" s="186"/>
      <c r="I91" s="218"/>
      <c r="J91" s="222" t="s">
        <v>137</v>
      </c>
      <c r="K91" s="224">
        <f>776+194</f>
        <v>970</v>
      </c>
    </row>
    <row r="92" spans="1:12" ht="15" customHeight="1" thickBot="1" x14ac:dyDescent="0.3">
      <c r="E92" s="201">
        <f>SUM(E86:E91)</f>
        <v>0</v>
      </c>
      <c r="F92" s="218"/>
      <c r="G92" s="225"/>
      <c r="H92" s="194">
        <f>SUM(H87:H91)</f>
        <v>582</v>
      </c>
      <c r="I92" s="218"/>
      <c r="J92" s="210"/>
    </row>
    <row r="93" spans="1:12" ht="15" customHeight="1" thickTop="1" x14ac:dyDescent="0.25">
      <c r="C93" s="173"/>
      <c r="D93" s="173"/>
      <c r="E93" s="177">
        <f>ROUNDDOWN(+E92,-2)</f>
        <v>0</v>
      </c>
      <c r="F93" s="177">
        <f>ROUNDDOWN(E93,-2)</f>
        <v>0</v>
      </c>
      <c r="G93" s="218"/>
      <c r="H93" s="218"/>
      <c r="I93" s="218"/>
      <c r="J93" s="210"/>
    </row>
    <row r="94" spans="1:12" ht="15" customHeight="1" x14ac:dyDescent="0.25">
      <c r="C94" s="173"/>
      <c r="D94" s="173"/>
      <c r="E94" s="177"/>
      <c r="F94" s="177"/>
      <c r="G94" s="218"/>
      <c r="H94" s="218"/>
      <c r="I94" s="218"/>
      <c r="J94" s="210"/>
    </row>
    <row r="95" spans="1:12" ht="15" customHeight="1" thickBot="1" x14ac:dyDescent="0.3">
      <c r="C95" s="173"/>
      <c r="D95" s="173"/>
      <c r="E95" s="177"/>
      <c r="F95" s="218"/>
      <c r="G95" s="218"/>
      <c r="H95" s="218"/>
      <c r="I95" s="218"/>
      <c r="J95" s="210"/>
    </row>
    <row r="96" spans="1:12" s="44" customFormat="1" ht="15" customHeight="1" x14ac:dyDescent="0.25">
      <c r="A96" s="226" t="s">
        <v>151</v>
      </c>
      <c r="B96" s="227"/>
      <c r="C96" s="227"/>
      <c r="D96" s="227"/>
      <c r="E96" s="227"/>
      <c r="F96" s="227"/>
      <c r="G96" s="228" t="s">
        <v>152</v>
      </c>
      <c r="H96" s="229"/>
      <c r="J96" s="230"/>
      <c r="K96" s="231"/>
      <c r="L96" s="52"/>
    </row>
    <row r="97" spans="1:12" s="44" customFormat="1" ht="15" customHeight="1" x14ac:dyDescent="0.25">
      <c r="A97" s="232" t="s">
        <v>153</v>
      </c>
      <c r="H97" s="96"/>
      <c r="J97" s="230"/>
      <c r="K97" s="233"/>
      <c r="L97" s="52"/>
    </row>
    <row r="98" spans="1:12" s="44" customFormat="1" ht="15" customHeight="1" x14ac:dyDescent="0.25">
      <c r="A98" s="232" t="s">
        <v>154</v>
      </c>
      <c r="H98" s="96"/>
      <c r="J98" s="230"/>
      <c r="K98" s="233"/>
      <c r="L98" s="52"/>
    </row>
    <row r="99" spans="1:12" s="44" customFormat="1" ht="15" customHeight="1" x14ac:dyDescent="0.2">
      <c r="A99" s="234" t="s">
        <v>155</v>
      </c>
      <c r="B99" s="235" t="s">
        <v>156</v>
      </c>
      <c r="C99" s="235"/>
      <c r="D99" s="235"/>
      <c r="E99" s="235"/>
      <c r="F99" s="235"/>
      <c r="G99" s="235"/>
      <c r="H99" s="236"/>
      <c r="I99" s="29"/>
      <c r="J99" s="230"/>
      <c r="K99" s="237" t="s">
        <v>157</v>
      </c>
      <c r="L99" s="52"/>
    </row>
    <row r="100" spans="1:12" s="44" customFormat="1" ht="26.25" customHeight="1" x14ac:dyDescent="0.2">
      <c r="A100" s="234" t="s">
        <v>158</v>
      </c>
      <c r="B100" s="235" t="s">
        <v>159</v>
      </c>
      <c r="C100" s="235"/>
      <c r="D100" s="235"/>
      <c r="E100" s="235"/>
      <c r="F100" s="235"/>
      <c r="G100" s="235"/>
      <c r="H100" s="236"/>
      <c r="I100" s="29"/>
      <c r="J100" s="230"/>
      <c r="K100" s="237" t="s">
        <v>160</v>
      </c>
      <c r="L100" s="52"/>
    </row>
    <row r="101" spans="1:12" s="44" customFormat="1" ht="26.25" customHeight="1" x14ac:dyDescent="0.2">
      <c r="A101" s="234" t="s">
        <v>161</v>
      </c>
      <c r="B101" s="235" t="s">
        <v>162</v>
      </c>
      <c r="C101" s="235"/>
      <c r="D101" s="235"/>
      <c r="E101" s="235"/>
      <c r="F101" s="235"/>
      <c r="G101" s="235"/>
      <c r="H101" s="236"/>
      <c r="I101" s="29"/>
      <c r="J101" s="230"/>
      <c r="K101" s="237" t="s">
        <v>163</v>
      </c>
      <c r="L101" s="52"/>
    </row>
    <row r="102" spans="1:12" s="44" customFormat="1" ht="26.25" customHeight="1" x14ac:dyDescent="0.2">
      <c r="A102" s="234" t="s">
        <v>164</v>
      </c>
      <c r="B102" s="235" t="s">
        <v>165</v>
      </c>
      <c r="C102" s="235"/>
      <c r="D102" s="235"/>
      <c r="E102" s="235"/>
      <c r="F102" s="235"/>
      <c r="G102" s="235"/>
      <c r="H102" s="236"/>
      <c r="I102" s="29"/>
      <c r="J102" s="230"/>
      <c r="K102" s="237" t="s">
        <v>166</v>
      </c>
      <c r="L102" s="52"/>
    </row>
    <row r="103" spans="1:12" s="44" customFormat="1" ht="15" customHeight="1" x14ac:dyDescent="0.2">
      <c r="A103" s="234" t="s">
        <v>167</v>
      </c>
      <c r="B103" s="235" t="s">
        <v>168</v>
      </c>
      <c r="C103" s="235"/>
      <c r="D103" s="235"/>
      <c r="E103" s="235"/>
      <c r="F103" s="235"/>
      <c r="G103" s="235"/>
      <c r="H103" s="236"/>
      <c r="I103" s="29"/>
      <c r="J103" s="230"/>
      <c r="K103" s="237" t="s">
        <v>169</v>
      </c>
      <c r="L103" s="52"/>
    </row>
    <row r="104" spans="1:12" s="44" customFormat="1" ht="15" customHeight="1" x14ac:dyDescent="0.2">
      <c r="A104" s="234" t="s">
        <v>170</v>
      </c>
      <c r="B104" s="235" t="s">
        <v>171</v>
      </c>
      <c r="C104" s="235"/>
      <c r="D104" s="235"/>
      <c r="E104" s="235"/>
      <c r="F104" s="235"/>
      <c r="G104" s="235"/>
      <c r="H104" s="236"/>
      <c r="I104" s="29"/>
      <c r="J104" s="230"/>
      <c r="K104" s="237" t="s">
        <v>172</v>
      </c>
      <c r="L104" s="52"/>
    </row>
    <row r="105" spans="1:12" s="44" customFormat="1" ht="25.5" customHeight="1" x14ac:dyDescent="0.2">
      <c r="A105" s="238"/>
      <c r="B105" s="239" t="s">
        <v>173</v>
      </c>
      <c r="C105" s="239"/>
      <c r="D105" s="239"/>
      <c r="E105" s="239"/>
      <c r="F105" s="239"/>
      <c r="G105" s="239"/>
      <c r="H105" s="240"/>
      <c r="J105" s="230"/>
    </row>
    <row r="106" spans="1:12" s="44" customFormat="1" ht="15" customHeight="1" thickBot="1" x14ac:dyDescent="0.25">
      <c r="A106" s="241"/>
      <c r="B106" s="242" t="s">
        <v>174</v>
      </c>
      <c r="C106" s="242"/>
      <c r="D106" s="242"/>
      <c r="E106" s="242"/>
      <c r="F106" s="242"/>
      <c r="G106" s="242"/>
      <c r="H106" s="243"/>
      <c r="J106" s="230"/>
    </row>
    <row r="107" spans="1:12" s="44" customFormat="1" ht="15" customHeight="1" thickBot="1" x14ac:dyDescent="0.25">
      <c r="A107" s="244"/>
      <c r="B107" s="245"/>
      <c r="C107" s="245"/>
      <c r="D107" s="245"/>
      <c r="E107" s="245"/>
      <c r="F107" s="245"/>
      <c r="G107" s="245"/>
      <c r="J107" s="230"/>
    </row>
    <row r="108" spans="1:12" s="44" customFormat="1" ht="15" customHeight="1" x14ac:dyDescent="0.25">
      <c r="A108" s="226" t="s">
        <v>151</v>
      </c>
      <c r="B108" s="246"/>
      <c r="C108" s="246"/>
      <c r="D108" s="246"/>
      <c r="E108" s="246"/>
      <c r="F108" s="246"/>
      <c r="G108" s="247" t="s">
        <v>175</v>
      </c>
      <c r="H108" s="248"/>
      <c r="J108" s="230"/>
    </row>
    <row r="109" spans="1:12" ht="15" customHeight="1" x14ac:dyDescent="0.25">
      <c r="A109" s="232" t="s">
        <v>176</v>
      </c>
      <c r="C109" s="249"/>
      <c r="D109" s="249"/>
      <c r="E109" s="249"/>
      <c r="F109" s="250"/>
      <c r="G109" s="251"/>
      <c r="H109" s="103"/>
      <c r="J109" s="230"/>
    </row>
    <row r="110" spans="1:12" ht="15" customHeight="1" x14ac:dyDescent="0.25">
      <c r="A110" s="232" t="s">
        <v>177</v>
      </c>
      <c r="C110" s="249"/>
      <c r="D110" s="249"/>
      <c r="E110" s="249"/>
      <c r="F110" s="250"/>
      <c r="G110" s="251"/>
      <c r="H110" s="103"/>
      <c r="J110" s="230"/>
    </row>
    <row r="111" spans="1:12" ht="15" customHeight="1" x14ac:dyDescent="0.25">
      <c r="A111" s="27"/>
      <c r="B111" s="252" t="s">
        <v>178</v>
      </c>
      <c r="D111" s="252" t="s">
        <v>179</v>
      </c>
      <c r="F111" s="250"/>
      <c r="G111" s="251"/>
      <c r="H111" s="103"/>
      <c r="J111" s="230"/>
    </row>
    <row r="112" spans="1:12" ht="15" customHeight="1" x14ac:dyDescent="0.25">
      <c r="A112" s="27"/>
      <c r="B112" s="252" t="s">
        <v>180</v>
      </c>
      <c r="D112" s="252" t="s">
        <v>181</v>
      </c>
      <c r="F112" s="250"/>
      <c r="G112" s="251"/>
      <c r="H112" s="103"/>
      <c r="J112" s="230"/>
    </row>
    <row r="113" spans="1:10" ht="15" customHeight="1" x14ac:dyDescent="0.25">
      <c r="A113" s="27"/>
      <c r="B113" s="252" t="s">
        <v>182</v>
      </c>
      <c r="D113" s="252" t="s">
        <v>183</v>
      </c>
      <c r="F113" s="250"/>
      <c r="G113" s="251"/>
      <c r="H113" s="103"/>
      <c r="J113" s="230"/>
    </row>
    <row r="114" spans="1:10" ht="15" customHeight="1" x14ac:dyDescent="0.25">
      <c r="A114" s="27"/>
      <c r="B114" s="253" t="s">
        <v>184</v>
      </c>
      <c r="D114" s="252" t="s">
        <v>185</v>
      </c>
      <c r="F114" s="250"/>
      <c r="G114" s="251"/>
      <c r="H114" s="103"/>
      <c r="J114" s="230"/>
    </row>
    <row r="115" spans="1:10" ht="15" customHeight="1" x14ac:dyDescent="0.25">
      <c r="A115" s="27"/>
      <c r="B115" s="252" t="s">
        <v>186</v>
      </c>
      <c r="D115" s="252" t="s">
        <v>187</v>
      </c>
      <c r="F115" s="250"/>
      <c r="G115" s="251"/>
      <c r="H115" s="103"/>
      <c r="J115" s="230"/>
    </row>
    <row r="116" spans="1:10" ht="15" customHeight="1" x14ac:dyDescent="0.25">
      <c r="A116" s="27"/>
      <c r="B116" s="252" t="s">
        <v>188</v>
      </c>
      <c r="D116" s="252" t="s">
        <v>189</v>
      </c>
      <c r="F116" s="250"/>
      <c r="G116" s="251"/>
      <c r="H116" s="103"/>
      <c r="J116" s="17"/>
    </row>
    <row r="117" spans="1:10" ht="15" customHeight="1" x14ac:dyDescent="0.25">
      <c r="A117" s="27"/>
      <c r="B117" s="253" t="s">
        <v>190</v>
      </c>
      <c r="D117" s="252" t="s">
        <v>191</v>
      </c>
      <c r="F117" s="250"/>
      <c r="G117" s="251"/>
      <c r="H117" s="103"/>
      <c r="J117" s="17"/>
    </row>
    <row r="118" spans="1:10" ht="15" customHeight="1" thickBot="1" x14ac:dyDescent="0.3">
      <c r="A118" s="254"/>
      <c r="B118" s="255" t="s">
        <v>192</v>
      </c>
      <c r="C118" s="213"/>
      <c r="D118" s="255" t="s">
        <v>193</v>
      </c>
      <c r="E118" s="213"/>
      <c r="F118" s="213"/>
      <c r="G118" s="213"/>
      <c r="H118" s="256"/>
      <c r="J118" s="17"/>
    </row>
    <row r="119" spans="1:10" ht="15" customHeight="1" thickBot="1" x14ac:dyDescent="0.3">
      <c r="J119" s="17"/>
    </row>
    <row r="120" spans="1:10" ht="15" customHeight="1" x14ac:dyDescent="0.25">
      <c r="B120" s="257" t="s">
        <v>194</v>
      </c>
      <c r="C120" s="258"/>
      <c r="D120" s="259"/>
      <c r="E120" s="260" t="s">
        <v>195</v>
      </c>
      <c r="F120" s="261"/>
      <c r="G120" s="260" t="s">
        <v>196</v>
      </c>
      <c r="H120" s="262"/>
      <c r="J120" s="17"/>
    </row>
    <row r="121" spans="1:10" ht="15" customHeight="1" x14ac:dyDescent="0.25">
      <c r="B121" s="263" t="s">
        <v>11</v>
      </c>
      <c r="C121" s="173"/>
      <c r="D121" s="164"/>
      <c r="E121" s="264" t="s">
        <v>197</v>
      </c>
      <c r="G121" s="264" t="s">
        <v>198</v>
      </c>
      <c r="H121" s="103"/>
      <c r="J121" s="17"/>
    </row>
    <row r="122" spans="1:10" ht="15" customHeight="1" x14ac:dyDescent="0.25">
      <c r="B122" s="263" t="s">
        <v>199</v>
      </c>
      <c r="C122" s="173"/>
      <c r="D122" s="164"/>
      <c r="E122" s="264" t="s">
        <v>200</v>
      </c>
      <c r="G122" s="264" t="s">
        <v>201</v>
      </c>
      <c r="H122" s="103"/>
      <c r="J122" s="17"/>
    </row>
    <row r="123" spans="1:10" ht="15" customHeight="1" x14ac:dyDescent="0.25">
      <c r="B123" s="263" t="s">
        <v>22</v>
      </c>
      <c r="C123" s="173"/>
      <c r="D123" s="164"/>
      <c r="E123" s="264" t="s">
        <v>202</v>
      </c>
      <c r="H123" s="103"/>
      <c r="J123" s="17"/>
    </row>
    <row r="124" spans="1:10" ht="15" customHeight="1" x14ac:dyDescent="0.25">
      <c r="B124" s="263" t="s">
        <v>203</v>
      </c>
      <c r="C124" s="173"/>
      <c r="D124" s="164"/>
      <c r="E124" s="264" t="s">
        <v>204</v>
      </c>
      <c r="H124" s="103"/>
      <c r="J124" s="17"/>
    </row>
    <row r="125" spans="1:10" ht="15" customHeight="1" x14ac:dyDescent="0.25">
      <c r="B125" s="263" t="s">
        <v>205</v>
      </c>
      <c r="C125" s="173"/>
      <c r="D125" s="164"/>
      <c r="H125" s="103"/>
      <c r="J125" s="17"/>
    </row>
    <row r="126" spans="1:10" ht="15" customHeight="1" x14ac:dyDescent="0.25">
      <c r="B126" s="263" t="s">
        <v>206</v>
      </c>
      <c r="C126" s="173"/>
      <c r="D126" s="164"/>
      <c r="H126" s="103"/>
      <c r="J126" s="17"/>
    </row>
    <row r="127" spans="1:10" ht="15" customHeight="1" x14ac:dyDescent="0.25">
      <c r="B127" s="263" t="s">
        <v>207</v>
      </c>
      <c r="C127" s="173"/>
      <c r="D127" s="265">
        <f>SUM(C121:C127)</f>
        <v>0</v>
      </c>
      <c r="H127" s="103"/>
      <c r="J127" s="17"/>
    </row>
    <row r="128" spans="1:10" ht="15" customHeight="1" x14ac:dyDescent="0.25">
      <c r="B128" s="266" t="s">
        <v>208</v>
      </c>
      <c r="C128" s="173"/>
      <c r="D128" s="249"/>
      <c r="E128" s="267"/>
      <c r="H128" s="103"/>
      <c r="J128" s="17"/>
    </row>
    <row r="129" spans="2:11" ht="15" customHeight="1" x14ac:dyDescent="0.25">
      <c r="B129" s="263" t="s">
        <v>209</v>
      </c>
      <c r="C129" s="268"/>
      <c r="D129" s="249"/>
      <c r="H129" s="103"/>
      <c r="J129" s="17"/>
    </row>
    <row r="130" spans="2:11" ht="15" customHeight="1" x14ac:dyDescent="0.25">
      <c r="B130" s="263" t="s">
        <v>210</v>
      </c>
      <c r="C130" s="268"/>
      <c r="D130" s="249"/>
      <c r="H130" s="103"/>
      <c r="J130" s="17"/>
    </row>
    <row r="131" spans="2:11" ht="15" customHeight="1" x14ac:dyDescent="0.25">
      <c r="B131" s="263" t="s">
        <v>211</v>
      </c>
      <c r="C131" s="268"/>
      <c r="D131" s="249">
        <f>SUM(C129:C131)</f>
        <v>0</v>
      </c>
      <c r="H131" s="103"/>
      <c r="J131" s="17"/>
    </row>
    <row r="132" spans="2:11" ht="15" customHeight="1" thickBot="1" x14ac:dyDescent="0.3">
      <c r="B132" s="269" t="s">
        <v>212</v>
      </c>
      <c r="C132" s="270"/>
      <c r="D132" s="271"/>
      <c r="E132" s="213"/>
      <c r="F132" s="213"/>
      <c r="G132" s="213"/>
      <c r="H132" s="256"/>
      <c r="J132" s="17"/>
    </row>
    <row r="133" spans="2:11" ht="15" customHeight="1" x14ac:dyDescent="0.25">
      <c r="B133" s="249"/>
      <c r="D133" s="272">
        <f>D127+D131+D132</f>
        <v>0</v>
      </c>
      <c r="J133" s="17"/>
    </row>
    <row r="134" spans="2:11" ht="15" customHeight="1" x14ac:dyDescent="0.25">
      <c r="F134" s="177"/>
      <c r="G134" s="177"/>
      <c r="H134" s="177"/>
      <c r="I134" s="186"/>
      <c r="J134" s="230"/>
      <c r="K134" s="49">
        <f>H134*0.03</f>
        <v>0</v>
      </c>
    </row>
  </sheetData>
  <mergeCells count="27">
    <mergeCell ref="B105:H105"/>
    <mergeCell ref="B106:G106"/>
    <mergeCell ref="G108:H108"/>
    <mergeCell ref="B99:H99"/>
    <mergeCell ref="B100:H100"/>
    <mergeCell ref="B101:H101"/>
    <mergeCell ref="B102:H102"/>
    <mergeCell ref="B103:H103"/>
    <mergeCell ref="B104:H104"/>
    <mergeCell ref="A51:B51"/>
    <mergeCell ref="F51:I51"/>
    <mergeCell ref="I65:J65"/>
    <mergeCell ref="I78:J78"/>
    <mergeCell ref="I88:J88"/>
    <mergeCell ref="G96:H96"/>
    <mergeCell ref="K26:L26"/>
    <mergeCell ref="K27:L27"/>
    <mergeCell ref="K43:M43"/>
    <mergeCell ref="C46:D46"/>
    <mergeCell ref="C47:D47"/>
    <mergeCell ref="A50:I50"/>
    <mergeCell ref="A1:C1"/>
    <mergeCell ref="D1:H1"/>
    <mergeCell ref="J1:M1"/>
    <mergeCell ref="A2:C2"/>
    <mergeCell ref="F2:G2"/>
    <mergeCell ref="K25:L25"/>
  </mergeCells>
  <conditionalFormatting sqref="F3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2022-10-16T17:55:26Z</dcterms:created>
  <dcterms:modified xsi:type="dcterms:W3CDTF">2022-10-16T17:55:41Z</dcterms:modified>
</cp:coreProperties>
</file>